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04" sheetId="1" r:id="rId1"/>
    <sheet name="05" sheetId="2" r:id="rId2"/>
    <sheet name="PLChuaDieuKien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'04'!$A$1:$U$52</definedName>
    <definedName name="_xlnm.Print_Area" localSheetId="1">'05'!$A$1:$U$52</definedName>
    <definedName name="_xlnm.Print_Area" localSheetId="2">'PLChuaDieuKien'!$A$1:$J$33</definedName>
    <definedName name="_xlnm.Print_Titles" localSheetId="2">'PLChuaDieuKien'!$4:$5</definedName>
  </definedNames>
  <calcPr fullCalcOnLoad="1"/>
</workbook>
</file>

<file path=xl/sharedStrings.xml><?xml version="1.0" encoding="utf-8"?>
<sst xmlns="http://schemas.openxmlformats.org/spreadsheetml/2006/main" count="253" uniqueCount="119">
  <si>
    <t xml:space="preserve">Biểu số: 04/TK-THA
Ban hành theo TT số: 06/2019/TT-BTP
ngày 21 tháng 11 năm 2019
Ngày nhận báo cáo: </t>
  </si>
  <si>
    <t>Đơn vị tính: Bản án, quyết định, việc và %</t>
  </si>
  <si>
    <t>STT</t>
  </si>
  <si>
    <t>Tên chỉ tiêu</t>
  </si>
  <si>
    <t>Tổng số  bản án, quyết định đã nhận</t>
  </si>
  <si>
    <t>Tổng số giải quyết</t>
  </si>
  <si>
    <t>Chia ra:</t>
  </si>
  <si>
    <t>Ủy thác thi hành án</t>
  </si>
  <si>
    <t>Thu hồi, hủy quyết định THA</t>
  </si>
  <si>
    <t>Tổng số phải thi hành</t>
  </si>
  <si>
    <t xml:space="preserve">Số chuyển kỳ sau </t>
  </si>
  <si>
    <t>Tỷ lệ thi hành xong trong số có điều kiện</t>
  </si>
  <si>
    <t>Năm trước chuyển sang (trừ số đã chuyển sổ theo dõi riêng)</t>
  </si>
  <si>
    <t>Thụ lý mới</t>
  </si>
  <si>
    <t>Tổng số có điều kiện thi hành</t>
  </si>
  <si>
    <t>Chưa có điều kiện (trừ số đã chuyển sổ theo dõi riêng)</t>
  </si>
  <si>
    <t>Hoãn thi hành án (trừ điểm c k1, Đ 48)</t>
  </si>
  <si>
    <t xml:space="preserve">Tạm đình chỉ thi hành án </t>
  </si>
  <si>
    <t>Tổng số thi hành xong</t>
  </si>
  <si>
    <t>Đang thi hành</t>
  </si>
  <si>
    <t>Hoãn theo điểm c k1, Đ 48</t>
  </si>
  <si>
    <t>Trường hợp khác</t>
  </si>
  <si>
    <t>Thi hành xong</t>
  </si>
  <si>
    <t xml:space="preserve">Đình chỉ </t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</si>
  <si>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</si>
  <si>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</si>
  <si>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</si>
  <si>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</si>
  <si>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</si>
  <si>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</si>
  <si>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</si>
  <si>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</si>
  <si>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</si>
  <si>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</si>
  <si>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</si>
  <si>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</si>
  <si>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</si>
  <si>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</si>
  <si>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</si>
  <si>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</si>
  <si>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</si>
  <si>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</si>
  <si>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</si>
  <si>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</si>
  <si>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Tổng số</t>
  </si>
  <si>
    <t xml:space="preserve"> </t>
  </si>
  <si>
    <t>I</t>
  </si>
  <si>
    <t>CỤC THI HÀNH ÁN DS</t>
  </si>
  <si>
    <t>Chu Văn Quý</t>
  </si>
  <si>
    <t>Ngô Thị Hồng Nhung</t>
  </si>
  <si>
    <t>Vũ Ngọc Phương</t>
  </si>
  <si>
    <t>Vũ Quang Hiệp</t>
  </si>
  <si>
    <t>Đỗ Thị Hoàn</t>
  </si>
  <si>
    <t>II</t>
  </si>
  <si>
    <t>CÁC CHI CỤC THADS</t>
  </si>
  <si>
    <t>Chi cục Thi hành án dân sự Huyện Lý Nhân</t>
  </si>
  <si>
    <t>Trần Khánh Dư</t>
  </si>
  <si>
    <t>Bùi Trọng Tiến</t>
  </si>
  <si>
    <t>Đỗ Thị Thu Hằng</t>
  </si>
  <si>
    <t>Nguyễn Xuân Thắng</t>
  </si>
  <si>
    <t>Chi cục Thi hành án dân sự Huyện Bình Lục</t>
  </si>
  <si>
    <t>Nguyễn Lập Thuấn</t>
  </si>
  <si>
    <t>Tạ Đình Quang</t>
  </si>
  <si>
    <t>Lữ Thị Minh Châu</t>
  </si>
  <si>
    <t>Lê Quốc Huy</t>
  </si>
  <si>
    <t>Chi cục Thi hành án dân sự Huyện Duy Tiên</t>
  </si>
  <si>
    <t>Trần Văn Hoàng</t>
  </si>
  <si>
    <t>Nguyễn Thị Hoài</t>
  </si>
  <si>
    <t>Hoàng Long</t>
  </si>
  <si>
    <t>Đỗ Hoàng Hải</t>
  </si>
  <si>
    <t>Chi cục Thi hành án dân sự Huyện Kim Bảng</t>
  </si>
  <si>
    <t>Vũ Văn Duyến</t>
  </si>
  <si>
    <t>Nguyễn Minh Trường</t>
  </si>
  <si>
    <t>Phan Thị Ngọc Lan</t>
  </si>
  <si>
    <t>Nguyễn Minh Tuấn</t>
  </si>
  <si>
    <t>Ngô Đình Quyết</t>
  </si>
  <si>
    <t>Chi cục Thi hành án dân sự Huyện Thanh Liêm</t>
  </si>
  <si>
    <t>Vũ Thi Ninh</t>
  </si>
  <si>
    <t>Nguyễn Trung Chính</t>
  </si>
  <si>
    <t>Vũ Văn Khánh</t>
  </si>
  <si>
    <t>Nguyễn Quốc Thuận</t>
  </si>
  <si>
    <t>Chi cục Thi hành án dân sự Thành phố Phủ Lý</t>
  </si>
  <si>
    <t>Phạm Thị Thu Hà</t>
  </si>
  <si>
    <t>Đồng Hữu Trung</t>
  </si>
  <si>
    <t>Nguyễn Thị Hồng Vân</t>
  </si>
  <si>
    <t>Trương Văn Tuấn</t>
  </si>
  <si>
    <t>NGƯỜI LẬP BIỂU</t>
  </si>
  <si>
    <t xml:space="preserve">Biểu số: 05/TK-THA
Ban hành theo TT số: 06/2019/TT-BTP
ngày 21 tháng 11 năm 2019
Ngày nhận báo cáo: </t>
  </si>
  <si>
    <t>Đơn vị tính: 1.000 VNĐ và %</t>
  </si>
  <si>
    <t>Thu hồi, sửa, hủy quyết định THA</t>
  </si>
  <si>
    <t>Giảm nghĩa vụ thi hành án</t>
  </si>
  <si>
    <t>Tổng số</t>
  </si>
  <si>
    <t>PHỤ LỤC THEO DÕI SỐ CHUYỂN THEO DÕI RIÊNG</t>
  </si>
  <si>
    <t>Đơn vị tính: việc và 1.000 đồng</t>
  </si>
  <si>
    <t>TT</t>
  </si>
  <si>
    <t>Tiêu chí</t>
  </si>
  <si>
    <t>Việc</t>
  </si>
  <si>
    <t>Tiền</t>
  </si>
  <si>
    <t>Năm trước chuyển sang (chưa trừ theo dõi riêng)</t>
  </si>
  <si>
    <t>Chưa có điều kiện (chưa trừ  theo dõi riêng)</t>
  </si>
  <si>
    <t>Chuyển theo dõi riêng</t>
  </si>
  <si>
    <t>Tổng số việc chủ động</t>
  </si>
  <si>
    <t>Dân sự</t>
  </si>
  <si>
    <t>Kinh doanh, thương mại</t>
  </si>
  <si>
    <t>Tín dụng</t>
  </si>
  <si>
    <t>DS trong hình sự  (tội phạm chức vụ)</t>
  </si>
  <si>
    <t>DS trong hình sự (các tội XPTrTQLKT)</t>
  </si>
  <si>
    <t>DS trong hình sự (khác)</t>
  </si>
  <si>
    <t>DS trong hành chính</t>
  </si>
  <si>
    <t>Hôn nhân và gia đình</t>
  </si>
  <si>
    <t>Lao động</t>
  </si>
  <si>
    <t>Phá sản</t>
  </si>
  <si>
    <t>Trọng tài Thương mại</t>
  </si>
  <si>
    <t>Vụ việc cạnh tranh</t>
  </si>
  <si>
    <t>Loại khác</t>
  </si>
  <si>
    <t>Tổng số việc theo yêu cầu</t>
  </si>
  <si>
    <t>KẾT QUẢ THI HÀNH ÁN DÂN SỰ TÍNH BẰNG TIỀN CHIA THEO CƠ QUAN THI HÀNH ÁN DÂN SỰ VÀ CHẤP HÀNH VIÊN
7 tháng/năm 2021</t>
  </si>
  <si>
    <t>KẾT QUẢ THI HÀNH ÁN DÂN SỰ TÍNH BẰNG VIỆC CHIA THEO CƠ QUAN THI HÀNH ÁN DÂN SỰ VÀ CHẤP HÀNH VIÊN
7 tháng năm 2021</t>
  </si>
  <si>
    <t>Hà Nam, ngày 04 tháng 5 năm 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</si>
</sst>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#,##0;[Red]#,##0"/>
  </numFmts>
  <fonts count="61">
    <font>
      <sz val="12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33" borderId="0" xfId="0" applyNumberFormat="1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0" fillId="5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33" borderId="10" xfId="0" applyNumberFormat="1" applyFont="1" applyFill="1" applyBorder="1" applyAlignment="1">
      <alignment/>
    </xf>
    <xf numFmtId="164" fontId="4" fillId="33" borderId="10" xfId="42" applyNumberFormat="1" applyFont="1" applyFill="1" applyBorder="1" applyAlignment="1">
      <alignment/>
    </xf>
    <xf numFmtId="164" fontId="4" fillId="33" borderId="0" xfId="42" applyNumberFormat="1" applyFont="1" applyFill="1" applyAlignment="1">
      <alignment/>
    </xf>
    <xf numFmtId="164" fontId="0" fillId="0" borderId="0" xfId="42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164" fontId="6" fillId="34" borderId="11" xfId="42" applyNumberFormat="1" applyFont="1" applyFill="1" applyBorder="1" applyAlignment="1" applyProtection="1">
      <alignment horizontal="center" vertical="center" wrapText="1"/>
      <protection/>
    </xf>
    <xf numFmtId="0" fontId="0" fillId="33" borderId="0" xfId="58" applyNumberFormat="1" applyFont="1" applyFill="1" applyAlignment="1">
      <alignment horizontal="center" vertical="center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5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7" fillId="33" borderId="11" xfId="42" applyNumberFormat="1" applyFont="1" applyFill="1" applyBorder="1" applyAlignment="1" applyProtection="1">
      <alignment horizontal="center" vertical="center" wrapText="1"/>
      <protection/>
    </xf>
    <xf numFmtId="164" fontId="7" fillId="0" borderId="11" xfId="42" applyNumberFormat="1" applyFont="1" applyFill="1" applyBorder="1" applyAlignment="1" applyProtection="1">
      <alignment horizontal="center" vertical="center" wrapText="1"/>
      <protection/>
    </xf>
    <xf numFmtId="164" fontId="7" fillId="35" borderId="11" xfId="42" applyNumberFormat="1" applyFont="1" applyFill="1" applyBorder="1" applyAlignment="1" applyProtection="1">
      <alignment horizontal="center" vertical="center"/>
      <protection/>
    </xf>
    <xf numFmtId="1" fontId="55" fillId="5" borderId="11" xfId="0" applyNumberFormat="1" applyFont="1" applyFill="1" applyBorder="1" applyAlignment="1">
      <alignment vertical="center" wrapText="1"/>
    </xf>
    <xf numFmtId="1" fontId="55" fillId="35" borderId="11" xfId="0" applyNumberFormat="1" applyFont="1" applyFill="1" applyBorder="1" applyAlignment="1">
      <alignment vertical="center" wrapText="1"/>
    </xf>
    <xf numFmtId="164" fontId="7" fillId="5" borderId="11" xfId="42" applyNumberFormat="1" applyFont="1" applyFill="1" applyBorder="1" applyAlignment="1" applyProtection="1">
      <alignment horizontal="center" vertical="center"/>
      <protection/>
    </xf>
    <xf numFmtId="10" fontId="7" fillId="36" borderId="11" xfId="58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Alignment="1" applyProtection="1">
      <alignment/>
      <protection locked="0"/>
    </xf>
    <xf numFmtId="164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Alignment="1" applyProtection="1">
      <alignment/>
      <protection locked="0"/>
    </xf>
    <xf numFmtId="0" fontId="55" fillId="37" borderId="11" xfId="0" applyFont="1" applyFill="1" applyBorder="1" applyAlignment="1">
      <alignment horizontal="center" vertical="center" wrapText="1"/>
    </xf>
    <xf numFmtId="0" fontId="55" fillId="37" borderId="11" xfId="0" applyFont="1" applyFill="1" applyBorder="1" applyAlignment="1">
      <alignment vertical="center" wrapText="1"/>
    </xf>
    <xf numFmtId="164" fontId="7" fillId="37" borderId="11" xfId="42" applyNumberFormat="1" applyFont="1" applyFill="1" applyBorder="1" applyAlignment="1" applyProtection="1">
      <alignment horizontal="center" vertical="center"/>
      <protection/>
    </xf>
    <xf numFmtId="1" fontId="55" fillId="37" borderId="11" xfId="0" applyNumberFormat="1" applyFont="1" applyFill="1" applyBorder="1" applyAlignment="1">
      <alignment vertical="center" wrapText="1"/>
    </xf>
    <xf numFmtId="164" fontId="55" fillId="37" borderId="11" xfId="42" applyNumberFormat="1" applyFont="1" applyFill="1" applyBorder="1" applyAlignment="1">
      <alignment vertical="center" wrapText="1"/>
    </xf>
    <xf numFmtId="164" fontId="56" fillId="37" borderId="11" xfId="42" applyNumberFormat="1" applyFont="1" applyFill="1" applyBorder="1" applyAlignment="1">
      <alignment vertical="center" wrapText="1"/>
    </xf>
    <xf numFmtId="10" fontId="7" fillId="37" borderId="11" xfId="58" applyNumberFormat="1" applyFont="1" applyFill="1" applyBorder="1" applyAlignment="1" applyProtection="1">
      <alignment horizontal="center" vertical="center"/>
      <protection locked="0"/>
    </xf>
    <xf numFmtId="0" fontId="0" fillId="37" borderId="0" xfId="0" applyNumberFormat="1" applyFont="1" applyFill="1" applyAlignment="1" applyProtection="1">
      <alignment/>
      <protection locked="0"/>
    </xf>
    <xf numFmtId="164" fontId="0" fillId="37" borderId="0" xfId="0" applyNumberFormat="1" applyFont="1" applyFill="1" applyAlignment="1" applyProtection="1">
      <alignment/>
      <protection locked="0"/>
    </xf>
    <xf numFmtId="49" fontId="0" fillId="37" borderId="0" xfId="0" applyNumberFormat="1" applyFont="1" applyFill="1" applyAlignment="1" applyProtection="1">
      <alignment/>
      <protection locked="0"/>
    </xf>
    <xf numFmtId="165" fontId="56" fillId="38" borderId="11" xfId="0" applyNumberFormat="1" applyFont="1" applyFill="1" applyBorder="1" applyAlignment="1">
      <alignment horizontal="center" vertical="center" wrapText="1"/>
    </xf>
    <xf numFmtId="0" fontId="56" fillId="38" borderId="11" xfId="0" applyFont="1" applyFill="1" applyBorder="1" applyAlignment="1">
      <alignment vertical="center" wrapText="1"/>
    </xf>
    <xf numFmtId="164" fontId="7" fillId="36" borderId="11" xfId="42" applyNumberFormat="1" applyFont="1" applyFill="1" applyBorder="1" applyAlignment="1" applyProtection="1">
      <alignment horizontal="center" vertical="center"/>
      <protection/>
    </xf>
    <xf numFmtId="164" fontId="7" fillId="39" borderId="11" xfId="42" applyNumberFormat="1" applyFont="1" applyFill="1" applyBorder="1" applyAlignment="1" applyProtection="1">
      <alignment horizontal="center" vertical="center"/>
      <protection locked="0"/>
    </xf>
    <xf numFmtId="164" fontId="56" fillId="38" borderId="11" xfId="42" applyNumberFormat="1" applyFont="1" applyFill="1" applyBorder="1" applyAlignment="1">
      <alignment vertical="center" wrapText="1"/>
    </xf>
    <xf numFmtId="164" fontId="7" fillId="40" borderId="11" xfId="42" applyNumberFormat="1" applyFont="1" applyFill="1" applyBorder="1" applyAlignment="1" applyProtection="1">
      <alignment horizontal="center" vertical="center"/>
      <protection locked="0"/>
    </xf>
    <xf numFmtId="164" fontId="7" fillId="0" borderId="11" xfId="42" applyNumberFormat="1" applyFont="1" applyFill="1" applyBorder="1" applyAlignment="1" applyProtection="1">
      <alignment horizontal="center" vertical="center"/>
      <protection locked="0"/>
    </xf>
    <xf numFmtId="164" fontId="7" fillId="39" borderId="12" xfId="42" applyNumberFormat="1" applyFont="1" applyFill="1" applyBorder="1" applyAlignment="1" applyProtection="1">
      <alignment vertical="center" wrapText="1"/>
      <protection locked="0"/>
    </xf>
    <xf numFmtId="1" fontId="55" fillId="37" borderId="11" xfId="0" applyNumberFormat="1" applyFont="1" applyFill="1" applyBorder="1" applyAlignment="1">
      <alignment horizontal="center" vertical="center" wrapText="1"/>
    </xf>
    <xf numFmtId="164" fontId="55" fillId="38" borderId="11" xfId="42" applyNumberFormat="1" applyFont="1" applyFill="1" applyBorder="1" applyAlignment="1">
      <alignment vertical="center" wrapText="1"/>
    </xf>
    <xf numFmtId="164" fontId="7" fillId="37" borderId="11" xfId="42" applyNumberFormat="1" applyFont="1" applyFill="1" applyBorder="1" applyAlignment="1" applyProtection="1">
      <alignment horizontal="center" vertical="center"/>
      <protection locked="0"/>
    </xf>
    <xf numFmtId="164" fontId="7" fillId="40" borderId="11" xfId="42" applyNumberFormat="1" applyFont="1" applyFill="1" applyBorder="1" applyAlignment="1" applyProtection="1">
      <alignment horizontal="center"/>
      <protection locked="0"/>
    </xf>
    <xf numFmtId="164" fontId="56" fillId="40" borderId="11" xfId="42" applyNumberFormat="1" applyFont="1" applyFill="1" applyBorder="1" applyAlignment="1">
      <alignment vertical="center" wrapText="1"/>
    </xf>
    <xf numFmtId="164" fontId="8" fillId="39" borderId="11" xfId="42" applyNumberFormat="1" applyFont="1" applyFill="1" applyBorder="1" applyAlignment="1" applyProtection="1">
      <alignment horizontal="center" vertical="center"/>
      <protection locked="0"/>
    </xf>
    <xf numFmtId="164" fontId="7" fillId="20" borderId="11" xfId="42" applyNumberFormat="1" applyFont="1" applyFill="1" applyBorder="1" applyAlignment="1" applyProtection="1">
      <alignment horizontal="center" vertical="center"/>
      <protection locked="0"/>
    </xf>
    <xf numFmtId="164" fontId="7" fillId="39" borderId="11" xfId="44" applyNumberFormat="1" applyFont="1" applyFill="1" applyBorder="1" applyAlignment="1" applyProtection="1">
      <alignment horizontal="center" vertical="center"/>
      <protection locked="0"/>
    </xf>
    <xf numFmtId="164" fontId="7" fillId="39" borderId="11" xfId="44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164" fontId="0" fillId="0" borderId="0" xfId="42" applyNumberFormat="1" applyFont="1" applyFill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9" fillId="5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164" fontId="0" fillId="0" borderId="0" xfId="42" applyNumberFormat="1" applyFont="1" applyFill="1" applyAlignment="1" applyProtection="1">
      <alignment/>
      <protection/>
    </xf>
    <xf numFmtId="49" fontId="57" fillId="5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wrapText="1"/>
      <protection/>
    </xf>
    <xf numFmtId="164" fontId="10" fillId="0" borderId="0" xfId="42" applyNumberFormat="1" applyFont="1" applyFill="1" applyAlignment="1" applyProtection="1">
      <alignment wrapText="1"/>
      <protection/>
    </xf>
    <xf numFmtId="49" fontId="10" fillId="5" borderId="0" xfId="0" applyNumberFormat="1" applyFont="1" applyFill="1" applyAlignment="1" applyProtection="1">
      <alignment wrapText="1"/>
      <protection/>
    </xf>
    <xf numFmtId="164" fontId="10" fillId="0" borderId="0" xfId="42" applyNumberFormat="1" applyFont="1" applyFill="1" applyAlignment="1" applyProtection="1">
      <alignment horizontal="center" wrapText="1"/>
      <protection/>
    </xf>
    <xf numFmtId="49" fontId="10" fillId="5" borderId="0" xfId="0" applyNumberFormat="1" applyFont="1" applyFill="1" applyAlignment="1" applyProtection="1">
      <alignment horizontal="center" wrapText="1"/>
      <protection/>
    </xf>
    <xf numFmtId="49" fontId="10" fillId="0" borderId="0" xfId="0" applyNumberFormat="1" applyFont="1" applyFill="1" applyAlignment="1" applyProtection="1">
      <alignment horizontal="center" wrapText="1"/>
      <protection/>
    </xf>
    <xf numFmtId="49" fontId="0" fillId="33" borderId="0" xfId="0" applyNumberFormat="1" applyFont="1" applyFill="1" applyAlignment="1">
      <alignment wrapText="1"/>
    </xf>
    <xf numFmtId="164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 horizontal="center"/>
    </xf>
    <xf numFmtId="49" fontId="0" fillId="5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1" fontId="11" fillId="33" borderId="0" xfId="0" applyNumberFormat="1" applyFont="1" applyFill="1" applyAlignment="1">
      <alignment horizontal="center"/>
    </xf>
    <xf numFmtId="1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164" fontId="0" fillId="33" borderId="0" xfId="42" applyNumberFormat="1" applyFont="1" applyFill="1" applyAlignment="1">
      <alignment horizontal="center" vertical="center"/>
    </xf>
    <xf numFmtId="164" fontId="0" fillId="33" borderId="0" xfId="42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 applyProtection="1">
      <alignment horizontal="center" vertical="center" wrapText="1"/>
      <protection/>
    </xf>
    <xf numFmtId="164" fontId="8" fillId="36" borderId="11" xfId="42" applyNumberFormat="1" applyFont="1" applyFill="1" applyBorder="1" applyAlignment="1" applyProtection="1">
      <alignment horizontal="center" vertical="center" wrapText="1"/>
      <protection/>
    </xf>
    <xf numFmtId="164" fontId="58" fillId="0" borderId="11" xfId="42" applyNumberFormat="1" applyFont="1" applyFill="1" applyBorder="1" applyAlignment="1">
      <alignment vertical="center" wrapText="1"/>
    </xf>
    <xf numFmtId="10" fontId="8" fillId="36" borderId="11" xfId="58" applyNumberFormat="1" applyFont="1" applyFill="1" applyBorder="1" applyAlignment="1" applyProtection="1">
      <alignment horizontal="center" vertical="center" wrapText="1"/>
      <protection locked="0"/>
    </xf>
    <xf numFmtId="164" fontId="0" fillId="37" borderId="0" xfId="42" applyNumberFormat="1" applyFont="1" applyFill="1" applyAlignment="1" applyProtection="1">
      <alignment/>
      <protection locked="0"/>
    </xf>
    <xf numFmtId="0" fontId="59" fillId="37" borderId="11" xfId="0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vertical="center" wrapText="1"/>
    </xf>
    <xf numFmtId="164" fontId="8" fillId="37" borderId="11" xfId="42" applyNumberFormat="1" applyFont="1" applyFill="1" applyBorder="1" applyAlignment="1" applyProtection="1">
      <alignment horizontal="center" vertical="center" wrapText="1"/>
      <protection/>
    </xf>
    <xf numFmtId="164" fontId="58" fillId="37" borderId="11" xfId="42" applyNumberFormat="1" applyFont="1" applyFill="1" applyBorder="1" applyAlignment="1">
      <alignment vertical="center" wrapText="1"/>
    </xf>
    <xf numFmtId="10" fontId="8" fillId="37" borderId="11" xfId="58" applyNumberFormat="1" applyFont="1" applyFill="1" applyBorder="1" applyAlignment="1" applyProtection="1">
      <alignment horizontal="center" vertical="center" wrapText="1"/>
      <protection locked="0"/>
    </xf>
    <xf numFmtId="165" fontId="58" fillId="38" borderId="11" xfId="0" applyNumberFormat="1" applyFont="1" applyFill="1" applyBorder="1" applyAlignment="1">
      <alignment horizontal="center" vertical="center" wrapText="1"/>
    </xf>
    <xf numFmtId="0" fontId="58" fillId="38" borderId="11" xfId="0" applyFont="1" applyFill="1" applyBorder="1" applyAlignment="1">
      <alignment vertical="center" wrapText="1"/>
    </xf>
    <xf numFmtId="164" fontId="58" fillId="38" borderId="11" xfId="42" applyNumberFormat="1" applyFont="1" applyFill="1" applyBorder="1" applyAlignment="1">
      <alignment vertical="center" wrapText="1"/>
    </xf>
    <xf numFmtId="164" fontId="59" fillId="38" borderId="11" xfId="42" applyNumberFormat="1" applyFont="1" applyFill="1" applyBorder="1" applyAlignment="1">
      <alignment vertical="center" wrapText="1"/>
    </xf>
    <xf numFmtId="164" fontId="59" fillId="37" borderId="11" xfId="42" applyNumberFormat="1" applyFont="1" applyFill="1" applyBorder="1" applyAlignment="1">
      <alignment vertical="center" wrapText="1"/>
    </xf>
    <xf numFmtId="1" fontId="59" fillId="37" borderId="11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Alignment="1" applyProtection="1">
      <alignment/>
      <protection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49" fontId="14" fillId="36" borderId="11" xfId="0" applyNumberFormat="1" applyFont="1" applyFill="1" applyBorder="1" applyAlignment="1" applyProtection="1">
      <alignment horizontal="center" vertical="center" wrapText="1"/>
      <protection/>
    </xf>
    <xf numFmtId="49" fontId="14" fillId="41" borderId="11" xfId="0" applyNumberFormat="1" applyFont="1" applyFill="1" applyBorder="1" applyAlignment="1" applyProtection="1">
      <alignment vertical="center" wrapText="1"/>
      <protection/>
    </xf>
    <xf numFmtId="164" fontId="15" fillId="41" borderId="11" xfId="42" applyNumberFormat="1" applyFont="1" applyFill="1" applyBorder="1" applyAlignment="1">
      <alignment/>
    </xf>
    <xf numFmtId="164" fontId="15" fillId="41" borderId="14" xfId="42" applyNumberFormat="1" applyFont="1" applyFill="1" applyBorder="1" applyAlignment="1">
      <alignment/>
    </xf>
    <xf numFmtId="164" fontId="8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8" fillId="33" borderId="11" xfId="0" applyNumberFormat="1" applyFont="1" applyFill="1" applyBorder="1" applyAlignment="1" applyProtection="1">
      <alignment horizontal="center" vertical="center"/>
      <protection/>
    </xf>
    <xf numFmtId="49" fontId="8" fillId="33" borderId="11" xfId="0" applyNumberFormat="1" applyFont="1" applyFill="1" applyBorder="1" applyAlignment="1" applyProtection="1">
      <alignment vertical="center"/>
      <protection/>
    </xf>
    <xf numFmtId="164" fontId="12" fillId="41" borderId="11" xfId="42" applyNumberFormat="1" applyFont="1" applyFill="1" applyBorder="1" applyAlignment="1">
      <alignment/>
    </xf>
    <xf numFmtId="164" fontId="12" fillId="41" borderId="11" xfId="42" applyNumberFormat="1" applyFont="1" applyFill="1" applyBorder="1" applyAlignment="1">
      <alignment vertical="center" wrapText="1"/>
    </xf>
    <xf numFmtId="164" fontId="7" fillId="0" borderId="14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49" fontId="8" fillId="33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9" fontId="8" fillId="33" borderId="11" xfId="0" applyNumberFormat="1" applyFont="1" applyFill="1" applyBorder="1" applyAlignment="1" applyProtection="1">
      <alignment vertical="center" wrapText="1"/>
      <protection/>
    </xf>
    <xf numFmtId="49" fontId="14" fillId="41" borderId="11" xfId="0" applyNumberFormat="1" applyFont="1" applyFill="1" applyBorder="1" applyAlignment="1" applyProtection="1">
      <alignment horizontal="left" vertical="center" wrapText="1"/>
      <protection/>
    </xf>
    <xf numFmtId="164" fontId="14" fillId="0" borderId="0" xfId="0" applyNumberFormat="1" applyFont="1" applyAlignment="1">
      <alignment/>
    </xf>
    <xf numFmtId="0" fontId="3" fillId="0" borderId="0" xfId="0" applyFont="1" applyAlignment="1">
      <alignment/>
    </xf>
    <xf numFmtId="164" fontId="7" fillId="0" borderId="11" xfId="42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164" fontId="7" fillId="0" borderId="0" xfId="0" applyNumberFormat="1" applyFont="1" applyBorder="1" applyAlignment="1">
      <alignment/>
    </xf>
    <xf numFmtId="164" fontId="8" fillId="39" borderId="11" xfId="42" applyNumberFormat="1" applyFont="1" applyFill="1" applyBorder="1" applyAlignment="1" applyProtection="1">
      <alignment horizontal="center" vertical="center" wrapText="1"/>
      <protection/>
    </xf>
    <xf numFmtId="164" fontId="8" fillId="39" borderId="12" xfId="42" applyNumberFormat="1" applyFont="1" applyFill="1" applyBorder="1" applyAlignment="1" applyProtection="1">
      <alignment vertical="center" wrapText="1"/>
      <protection locked="0"/>
    </xf>
    <xf numFmtId="3" fontId="58" fillId="39" borderId="11" xfId="0" applyNumberFormat="1" applyFont="1" applyFill="1" applyBorder="1" applyAlignment="1" applyProtection="1">
      <alignment vertical="center" wrapText="1"/>
      <protection locked="0"/>
    </xf>
    <xf numFmtId="164" fontId="8" fillId="39" borderId="12" xfId="44" applyNumberFormat="1" applyFont="1" applyFill="1" applyBorder="1" applyAlignment="1" applyProtection="1">
      <alignment vertical="center" wrapText="1"/>
      <protection locked="0"/>
    </xf>
    <xf numFmtId="164" fontId="8" fillId="39" borderId="11" xfId="44" applyNumberFormat="1" applyFont="1" applyFill="1" applyBorder="1" applyAlignment="1" applyProtection="1">
      <alignment horizontal="center" vertical="center" wrapText="1"/>
      <protection/>
    </xf>
    <xf numFmtId="164" fontId="8" fillId="39" borderId="12" xfId="44" applyNumberFormat="1" applyFont="1" applyFill="1" applyBorder="1" applyAlignment="1" applyProtection="1">
      <alignment horizontal="center" vertical="center" wrapText="1"/>
      <protection/>
    </xf>
    <xf numFmtId="164" fontId="8" fillId="34" borderId="11" xfId="42" applyNumberFormat="1" applyFont="1" applyFill="1" applyBorder="1" applyAlignment="1" applyProtection="1">
      <alignment horizontal="center" vertical="center"/>
      <protection locked="0"/>
    </xf>
    <xf numFmtId="164" fontId="7" fillId="34" borderId="11" xfId="42" applyNumberFormat="1" applyFont="1" applyFill="1" applyBorder="1" applyAlignment="1" applyProtection="1">
      <alignment horizontal="center" vertical="center"/>
      <protection locked="0"/>
    </xf>
    <xf numFmtId="164" fontId="2" fillId="0" borderId="0" xfId="42" applyNumberFormat="1" applyFont="1" applyFill="1" applyAlignment="1" applyProtection="1">
      <alignment horizontal="center" wrapText="1"/>
      <protection/>
    </xf>
    <xf numFmtId="43" fontId="2" fillId="0" borderId="0" xfId="42" applyFont="1" applyFill="1" applyAlignment="1" applyProtection="1">
      <alignment horizontal="center" wrapText="1"/>
      <protection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14" fontId="9" fillId="0" borderId="13" xfId="42" applyNumberFormat="1" applyFont="1" applyFill="1" applyBorder="1" applyAlignment="1" applyProtection="1">
      <alignment horizontal="center" wrapText="1"/>
      <protection/>
    </xf>
    <xf numFmtId="43" fontId="9" fillId="0" borderId="13" xfId="42" applyFont="1" applyFill="1" applyBorder="1" applyAlignment="1" applyProtection="1">
      <alignment horizontal="center" wrapText="1"/>
      <protection/>
    </xf>
    <xf numFmtId="14" fontId="9" fillId="0" borderId="13" xfId="42" applyNumberFormat="1" applyFont="1" applyFill="1" applyBorder="1" applyAlignment="1" applyProtection="1">
      <alignment horizontal="center" vertical="center" wrapText="1"/>
      <protection/>
    </xf>
    <xf numFmtId="43" fontId="9" fillId="0" borderId="13" xfId="42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49" fontId="9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64" fontId="6" fillId="34" borderId="11" xfId="42" applyNumberFormat="1" applyFont="1" applyFill="1" applyBorder="1" applyAlignment="1" applyProtection="1">
      <alignment horizontal="center" vertical="center" wrapText="1"/>
      <protection/>
    </xf>
    <xf numFmtId="164" fontId="6" fillId="33" borderId="11" xfId="42" applyNumberFormat="1" applyFont="1" applyFill="1" applyBorder="1" applyAlignment="1">
      <alignment horizontal="center" vertical="center" wrapText="1"/>
    </xf>
    <xf numFmtId="164" fontId="6" fillId="0" borderId="11" xfId="42" applyNumberFormat="1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49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6" fillId="33" borderId="17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 applyProtection="1">
      <alignment horizontal="center" vertical="center" wrapText="1"/>
      <protection/>
    </xf>
    <xf numFmtId="49" fontId="6" fillId="33" borderId="18" xfId="0" applyNumberFormat="1" applyFont="1" applyFill="1" applyBorder="1" applyAlignment="1" applyProtection="1">
      <alignment horizontal="center" vertical="center" wrapText="1"/>
      <protection/>
    </xf>
    <xf numFmtId="49" fontId="6" fillId="5" borderId="11" xfId="0" applyNumberFormat="1" applyFont="1" applyFill="1" applyBorder="1" applyAlignment="1" applyProtection="1">
      <alignment horizontal="center" vertical="center" wrapText="1"/>
      <protection/>
    </xf>
    <xf numFmtId="49" fontId="6" fillId="5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7" fillId="33" borderId="16" xfId="0" applyNumberFormat="1" applyFont="1" applyFill="1" applyBorder="1" applyAlignment="1" applyProtection="1">
      <alignment horizontal="center" vertical="center" wrapText="1"/>
      <protection/>
    </xf>
    <xf numFmtId="1" fontId="7" fillId="33" borderId="17" xfId="0" applyNumberFormat="1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49" fontId="7" fillId="33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right"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42" borderId="11" xfId="0" applyFont="1" applyFill="1" applyBorder="1" applyAlignment="1">
      <alignment horizontal="center"/>
    </xf>
    <xf numFmtId="0" fontId="14" fillId="42" borderId="14" xfId="0" applyFont="1" applyFill="1" applyBorder="1" applyAlignment="1">
      <alignment horizontal="center"/>
    </xf>
    <xf numFmtId="0" fontId="14" fillId="43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29622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7622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7622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7622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Bieu%20mau%20thong%20ke%2021.11.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us\AppData\Local\Temp\Tong%20Hop%20VP%203%20thang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T%2006-%20Ha%20Nam%20BCTK%206%20thang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us\AppData\Local\Temp\TT%2006-%20Ha%20Nam%20BCTK%203%20thang%20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BC%207%20thang%202021%20TT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2">
          <cell r="C2" t="str">
            <v>Đơn vị  báo cáo: 
Đơn vị nhận báo cáo: </v>
          </cell>
        </row>
        <row r="6">
          <cell r="C6" t="str">
            <v>TRẦN ĐỨC TOẢN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 Nhung"/>
      <sheetName val="01 Phuong"/>
      <sheetName val="01 Hiep"/>
      <sheetName val="01 quy"/>
      <sheetName val="01 hoan"/>
      <sheetName val="02 Nhung"/>
      <sheetName val="02 (bỏ)"/>
      <sheetName val="02 Phuong"/>
      <sheetName val="02 HIep"/>
      <sheetName val="02 Quy"/>
      <sheetName val="02 hoan"/>
      <sheetName val="03 Nhung"/>
      <sheetName val="03 Phuong"/>
      <sheetName val="03 Hiep"/>
      <sheetName val="03 Quy"/>
      <sheetName val="03 hoan"/>
      <sheetName val="04 Nhung"/>
      <sheetName val="04 -phuong"/>
      <sheetName val="04 Hiep"/>
      <sheetName val="04 Quy"/>
      <sheetName val="04 hoan"/>
      <sheetName val="05 Nhung"/>
      <sheetName val="05 Phuong"/>
      <sheetName val="05 Hiep"/>
      <sheetName val="05 Quy"/>
      <sheetName val="05 hoan"/>
      <sheetName val="01"/>
      <sheetName val="PT01"/>
      <sheetName val="02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TT"/>
      <sheetName val="PLChuaDieuKien"/>
    </sheetNames>
    <sheetDataSet>
      <sheetData sheetId="18">
        <row r="11">
          <cell r="E11">
            <v>10</v>
          </cell>
        </row>
      </sheetData>
      <sheetData sheetId="19">
        <row r="11">
          <cell r="E11">
            <v>24</v>
          </cell>
        </row>
      </sheetData>
      <sheetData sheetId="20">
        <row r="10">
          <cell r="E10">
            <v>2</v>
          </cell>
        </row>
      </sheetData>
      <sheetData sheetId="21">
        <row r="11">
          <cell r="D11">
            <v>6799248</v>
          </cell>
        </row>
      </sheetData>
      <sheetData sheetId="22">
        <row r="11">
          <cell r="D11">
            <v>1547842</v>
          </cell>
        </row>
      </sheetData>
      <sheetData sheetId="23">
        <row r="11">
          <cell r="D11">
            <v>631350048</v>
          </cell>
        </row>
      </sheetData>
      <sheetData sheetId="24">
        <row r="11">
          <cell r="D11">
            <v>5049798</v>
          </cell>
        </row>
      </sheetData>
      <sheetData sheetId="25">
        <row r="11">
          <cell r="D11">
            <v>61345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PT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3">
          <cell r="C3" t="str">
            <v>Vũ Ngọc Phương</v>
          </cell>
        </row>
        <row r="4">
          <cell r="C4" t="str">
            <v>Hà Nam, ngày 01 tháng 4 năm 2021</v>
          </cell>
        </row>
        <row r="5">
          <cell r="C5" t="str">
            <v>PHÓ CỤC TRƯỞNG</v>
          </cell>
        </row>
      </sheetData>
      <sheetData sheetId="1">
        <row r="11">
          <cell r="E11">
            <v>102</v>
          </cell>
          <cell r="Q11">
            <v>31</v>
          </cell>
        </row>
        <row r="12">
          <cell r="E12">
            <v>33</v>
          </cell>
          <cell r="Q12">
            <v>10</v>
          </cell>
        </row>
        <row r="13">
          <cell r="Q13">
            <v>0</v>
          </cell>
        </row>
        <row r="14">
          <cell r="E14">
            <v>0</v>
          </cell>
          <cell r="Q14">
            <v>0</v>
          </cell>
        </row>
        <row r="15">
          <cell r="Q15">
            <v>0</v>
          </cell>
        </row>
        <row r="17">
          <cell r="E17">
            <v>2</v>
          </cell>
          <cell r="Q17">
            <v>1</v>
          </cell>
        </row>
        <row r="18">
          <cell r="E18">
            <v>48</v>
          </cell>
        </row>
        <row r="19">
          <cell r="E19">
            <v>1</v>
          </cell>
          <cell r="Q19">
            <v>0</v>
          </cell>
        </row>
        <row r="20">
          <cell r="E20">
            <v>0</v>
          </cell>
          <cell r="Q20">
            <v>0</v>
          </cell>
        </row>
        <row r="21">
          <cell r="E21">
            <v>0</v>
          </cell>
          <cell r="Q21">
            <v>0</v>
          </cell>
        </row>
        <row r="22">
          <cell r="E22">
            <v>0</v>
          </cell>
          <cell r="Q22">
            <v>0</v>
          </cell>
        </row>
        <row r="23">
          <cell r="E23">
            <v>4</v>
          </cell>
        </row>
        <row r="26">
          <cell r="E26">
            <v>25</v>
          </cell>
          <cell r="Q26">
            <v>5</v>
          </cell>
        </row>
        <row r="27">
          <cell r="Q27">
            <v>0</v>
          </cell>
        </row>
        <row r="28">
          <cell r="E28">
            <v>0</v>
          </cell>
          <cell r="Q28">
            <v>0</v>
          </cell>
        </row>
        <row r="29">
          <cell r="E29">
            <v>0</v>
          </cell>
          <cell r="Q29">
            <v>0</v>
          </cell>
        </row>
        <row r="31">
          <cell r="E31">
            <v>0</v>
          </cell>
          <cell r="Q31">
            <v>0</v>
          </cell>
        </row>
        <row r="32">
          <cell r="E32">
            <v>42</v>
          </cell>
          <cell r="Q32">
            <v>12</v>
          </cell>
        </row>
        <row r="33">
          <cell r="E33">
            <v>1</v>
          </cell>
          <cell r="Q33">
            <v>0</v>
          </cell>
        </row>
        <row r="34">
          <cell r="E34">
            <v>0</v>
          </cell>
          <cell r="Q34">
            <v>0</v>
          </cell>
        </row>
        <row r="35">
          <cell r="E35">
            <v>0</v>
          </cell>
          <cell r="Q35">
            <v>0</v>
          </cell>
        </row>
        <row r="36">
          <cell r="Q36">
            <v>0</v>
          </cell>
        </row>
        <row r="37">
          <cell r="Q37">
            <v>0</v>
          </cell>
        </row>
      </sheetData>
      <sheetData sheetId="3">
        <row r="11">
          <cell r="D11">
            <v>1829627</v>
          </cell>
          <cell r="Q11">
            <v>939258</v>
          </cell>
        </row>
        <row r="12">
          <cell r="D12">
            <v>2178673</v>
          </cell>
          <cell r="Q12">
            <v>345753</v>
          </cell>
        </row>
        <row r="13">
          <cell r="D13">
            <v>0</v>
          </cell>
          <cell r="Q13">
            <v>0</v>
          </cell>
        </row>
        <row r="14">
          <cell r="D14">
            <v>0</v>
          </cell>
          <cell r="Q14">
            <v>0</v>
          </cell>
        </row>
        <row r="15">
          <cell r="Q15">
            <v>0</v>
          </cell>
        </row>
        <row r="16">
          <cell r="D16">
            <v>15004904</v>
          </cell>
          <cell r="Q16">
            <v>10562900</v>
          </cell>
        </row>
        <row r="17">
          <cell r="D17">
            <v>5065</v>
          </cell>
          <cell r="Q17">
            <v>2715</v>
          </cell>
        </row>
        <row r="18">
          <cell r="D18">
            <v>497454</v>
          </cell>
          <cell r="Q18">
            <v>136089</v>
          </cell>
        </row>
        <row r="19">
          <cell r="D19">
            <v>17710</v>
          </cell>
          <cell r="Q19">
            <v>0</v>
          </cell>
        </row>
        <row r="20">
          <cell r="D20">
            <v>0</v>
          </cell>
          <cell r="Q20">
            <v>0</v>
          </cell>
        </row>
        <row r="21">
          <cell r="D21">
            <v>0</v>
          </cell>
          <cell r="Q21">
            <v>0</v>
          </cell>
        </row>
        <row r="22">
          <cell r="D22">
            <v>0</v>
          </cell>
          <cell r="Q22">
            <v>0</v>
          </cell>
        </row>
        <row r="23">
          <cell r="D23">
            <v>22533</v>
          </cell>
          <cell r="Q23">
            <v>18938</v>
          </cell>
        </row>
        <row r="25">
          <cell r="D25">
            <v>38193028</v>
          </cell>
          <cell r="Q25">
            <v>19058374</v>
          </cell>
        </row>
        <row r="26">
          <cell r="D26">
            <v>727159244</v>
          </cell>
          <cell r="Q26">
            <v>72383355</v>
          </cell>
        </row>
        <row r="27">
          <cell r="Q27">
            <v>0</v>
          </cell>
        </row>
        <row r="28">
          <cell r="D28">
            <v>0</v>
          </cell>
          <cell r="Q28">
            <v>0</v>
          </cell>
        </row>
        <row r="29">
          <cell r="D29">
            <v>0</v>
          </cell>
          <cell r="Q29">
            <v>0</v>
          </cell>
        </row>
        <row r="30">
          <cell r="D30">
            <v>10447271</v>
          </cell>
          <cell r="Q30">
            <v>9916602</v>
          </cell>
        </row>
        <row r="31">
          <cell r="D31">
            <v>0</v>
          </cell>
          <cell r="Q31">
            <v>0</v>
          </cell>
        </row>
        <row r="32">
          <cell r="D32">
            <v>1074645</v>
          </cell>
          <cell r="Q32">
            <v>305950</v>
          </cell>
        </row>
        <row r="33">
          <cell r="D33">
            <v>835503</v>
          </cell>
          <cell r="Q33">
            <v>0</v>
          </cell>
        </row>
        <row r="34">
          <cell r="D34">
            <v>0</v>
          </cell>
          <cell r="Q34">
            <v>0</v>
          </cell>
        </row>
        <row r="35">
          <cell r="D35">
            <v>0</v>
          </cell>
          <cell r="Q35">
            <v>0</v>
          </cell>
        </row>
        <row r="36">
          <cell r="D36">
            <v>0</v>
          </cell>
          <cell r="Q36">
            <v>0</v>
          </cell>
        </row>
        <row r="37">
          <cell r="D37">
            <v>0</v>
          </cell>
          <cell r="Q3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PT01"/>
      <sheetName val="02"/>
      <sheetName val="PT02"/>
      <sheetName val="04"/>
      <sheetName val="05"/>
      <sheetName val="09"/>
      <sheetName val="PLChuaDieuKien"/>
    </sheetNames>
    <sheetDataSet>
      <sheetData sheetId="7">
        <row r="6">
          <cell r="I6">
            <v>808826496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6"/>
      <sheetName val="07"/>
      <sheetName val="Sheet2"/>
      <sheetName val="Sheet3"/>
    </sheetNames>
    <sheetDataSet>
      <sheetData sheetId="1">
        <row r="14">
          <cell r="R14">
            <v>125451577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2"/>
  <sheetViews>
    <sheetView view="pageBreakPreview" zoomScaleSheetLayoutView="100" zoomScalePageLayoutView="0" workbookViewId="0" topLeftCell="A1">
      <selection activeCell="N48" sqref="N48:U48"/>
    </sheetView>
  </sheetViews>
  <sheetFormatPr defaultColWidth="9.00390625" defaultRowHeight="15.75"/>
  <cols>
    <col min="1" max="1" width="4.125" style="2" customWidth="1"/>
    <col min="2" max="2" width="20.875" style="78" customWidth="1"/>
    <col min="3" max="3" width="6.625" style="2" customWidth="1"/>
    <col min="4" max="4" width="7.25390625" style="2" customWidth="1"/>
    <col min="5" max="5" width="8.375" style="6" customWidth="1"/>
    <col min="6" max="6" width="6.75390625" style="2" customWidth="1"/>
    <col min="7" max="7" width="6.50390625" style="2" customWidth="1"/>
    <col min="8" max="8" width="5.375" style="7" customWidth="1"/>
    <col min="9" max="9" width="8.375" style="2" customWidth="1"/>
    <col min="10" max="10" width="6.75390625" style="2" customWidth="1"/>
    <col min="11" max="11" width="6.625" style="2" customWidth="1"/>
    <col min="12" max="13" width="7.125" style="79" customWidth="1"/>
    <col min="14" max="14" width="7.375" style="80" customWidth="1"/>
    <col min="15" max="15" width="6.50390625" style="11" customWidth="1"/>
    <col min="16" max="16" width="5.625" style="80" customWidth="1"/>
    <col min="17" max="17" width="7.00390625" style="81" customWidth="1"/>
    <col min="18" max="18" width="7.00390625" style="82" customWidth="1"/>
    <col min="19" max="19" width="5.75390625" style="83" customWidth="1"/>
    <col min="20" max="20" width="7.25390625" style="83" customWidth="1"/>
    <col min="21" max="21" width="7.375" style="83" customWidth="1"/>
    <col min="22" max="23" width="0" style="1" hidden="1" customWidth="1"/>
    <col min="24" max="24" width="9.00390625" style="1" customWidth="1"/>
    <col min="25" max="16384" width="9.00390625" style="2" customWidth="1"/>
  </cols>
  <sheetData>
    <row r="1" spans="1:21" ht="65.25" customHeight="1">
      <c r="A1" s="169" t="s">
        <v>0</v>
      </c>
      <c r="B1" s="169"/>
      <c r="C1" s="169"/>
      <c r="D1" s="169"/>
      <c r="E1" s="170" t="s">
        <v>117</v>
      </c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1" t="str">
        <f>'[1]TT'!C2</f>
        <v>Đơn vị  báo cáo: 
Đơn vị nhận báo cáo: </v>
      </c>
      <c r="Q1" s="171"/>
      <c r="R1" s="171"/>
      <c r="S1" s="171"/>
      <c r="T1" s="171"/>
      <c r="U1" s="171"/>
    </row>
    <row r="2" spans="1:21" ht="17.25" customHeight="1">
      <c r="A2" s="3"/>
      <c r="B2" s="4"/>
      <c r="C2" s="5"/>
      <c r="D2" s="5"/>
      <c r="F2" s="7"/>
      <c r="G2" s="7"/>
      <c r="I2" s="8"/>
      <c r="J2" s="8"/>
      <c r="K2" s="8"/>
      <c r="L2" s="9"/>
      <c r="M2" s="10"/>
      <c r="N2" s="11"/>
      <c r="P2" s="172" t="s">
        <v>1</v>
      </c>
      <c r="Q2" s="172"/>
      <c r="R2" s="172"/>
      <c r="S2" s="172"/>
      <c r="T2" s="172"/>
      <c r="U2" s="172"/>
    </row>
    <row r="3" spans="1:24" s="13" customFormat="1" ht="15.75" customHeight="1">
      <c r="A3" s="173" t="s">
        <v>2</v>
      </c>
      <c r="B3" s="173" t="s">
        <v>3</v>
      </c>
      <c r="C3" s="176" t="s">
        <v>4</v>
      </c>
      <c r="D3" s="146" t="s">
        <v>5</v>
      </c>
      <c r="E3" s="146" t="s">
        <v>6</v>
      </c>
      <c r="F3" s="146"/>
      <c r="G3" s="156" t="s">
        <v>7</v>
      </c>
      <c r="H3" s="154" t="s">
        <v>8</v>
      </c>
      <c r="I3" s="156" t="s">
        <v>9</v>
      </c>
      <c r="J3" s="160" t="s">
        <v>6</v>
      </c>
      <c r="K3" s="161"/>
      <c r="L3" s="161"/>
      <c r="M3" s="161"/>
      <c r="N3" s="161"/>
      <c r="O3" s="161"/>
      <c r="P3" s="161"/>
      <c r="Q3" s="161"/>
      <c r="R3" s="161"/>
      <c r="S3" s="161"/>
      <c r="T3" s="162" t="s">
        <v>10</v>
      </c>
      <c r="U3" s="165" t="s">
        <v>11</v>
      </c>
      <c r="V3" s="12"/>
      <c r="W3" s="12"/>
      <c r="X3" s="12"/>
    </row>
    <row r="4" spans="1:24" s="15" customFormat="1" ht="15.75" customHeight="1">
      <c r="A4" s="174"/>
      <c r="B4" s="174"/>
      <c r="C4" s="176"/>
      <c r="D4" s="146"/>
      <c r="E4" s="167" t="s">
        <v>12</v>
      </c>
      <c r="F4" s="146" t="s">
        <v>13</v>
      </c>
      <c r="G4" s="156"/>
      <c r="H4" s="154"/>
      <c r="I4" s="156"/>
      <c r="J4" s="156" t="s">
        <v>14</v>
      </c>
      <c r="K4" s="146" t="s">
        <v>6</v>
      </c>
      <c r="L4" s="146"/>
      <c r="M4" s="146"/>
      <c r="N4" s="146"/>
      <c r="O4" s="146"/>
      <c r="P4" s="146"/>
      <c r="Q4" s="168" t="s">
        <v>15</v>
      </c>
      <c r="R4" s="154" t="s">
        <v>16</v>
      </c>
      <c r="S4" s="155" t="s">
        <v>17</v>
      </c>
      <c r="T4" s="163"/>
      <c r="U4" s="166"/>
      <c r="V4" s="14"/>
      <c r="W4" s="14"/>
      <c r="X4" s="14"/>
    </row>
    <row r="5" spans="1:24" s="13" customFormat="1" ht="15.75" customHeight="1">
      <c r="A5" s="174"/>
      <c r="B5" s="174"/>
      <c r="C5" s="176"/>
      <c r="D5" s="146"/>
      <c r="E5" s="167"/>
      <c r="F5" s="146"/>
      <c r="G5" s="156"/>
      <c r="H5" s="154"/>
      <c r="I5" s="156"/>
      <c r="J5" s="156"/>
      <c r="K5" s="156" t="s">
        <v>18</v>
      </c>
      <c r="L5" s="157" t="s">
        <v>6</v>
      </c>
      <c r="M5" s="157"/>
      <c r="N5" s="158" t="s">
        <v>19</v>
      </c>
      <c r="O5" s="159" t="s">
        <v>20</v>
      </c>
      <c r="P5" s="158" t="s">
        <v>21</v>
      </c>
      <c r="Q5" s="168"/>
      <c r="R5" s="154"/>
      <c r="S5" s="155"/>
      <c r="T5" s="163"/>
      <c r="U5" s="166"/>
      <c r="V5" s="12"/>
      <c r="W5" s="12"/>
      <c r="X5" s="12"/>
    </row>
    <row r="6" spans="1:24" s="13" customFormat="1" ht="15.75" customHeight="1">
      <c r="A6" s="174"/>
      <c r="B6" s="174"/>
      <c r="C6" s="176"/>
      <c r="D6" s="146"/>
      <c r="E6" s="167"/>
      <c r="F6" s="146"/>
      <c r="G6" s="156"/>
      <c r="H6" s="154"/>
      <c r="I6" s="156"/>
      <c r="J6" s="156"/>
      <c r="K6" s="156"/>
      <c r="L6" s="157"/>
      <c r="M6" s="157"/>
      <c r="N6" s="158"/>
      <c r="O6" s="159"/>
      <c r="P6" s="158"/>
      <c r="Q6" s="168"/>
      <c r="R6" s="154"/>
      <c r="S6" s="155"/>
      <c r="T6" s="163"/>
      <c r="U6" s="166"/>
      <c r="V6" s="12"/>
      <c r="W6" s="12"/>
      <c r="X6" s="12"/>
    </row>
    <row r="7" spans="1:24" s="13" customFormat="1" ht="44.25" customHeight="1">
      <c r="A7" s="175"/>
      <c r="B7" s="175"/>
      <c r="C7" s="176"/>
      <c r="D7" s="146"/>
      <c r="E7" s="167"/>
      <c r="F7" s="146"/>
      <c r="G7" s="156"/>
      <c r="H7" s="154"/>
      <c r="I7" s="156"/>
      <c r="J7" s="156"/>
      <c r="K7" s="156"/>
      <c r="L7" s="16" t="s">
        <v>22</v>
      </c>
      <c r="M7" s="16" t="s">
        <v>23</v>
      </c>
      <c r="N7" s="158"/>
      <c r="O7" s="159"/>
      <c r="P7" s="158"/>
      <c r="Q7" s="168"/>
      <c r="R7" s="154"/>
      <c r="S7" s="155"/>
      <c r="T7" s="164"/>
      <c r="U7" s="166"/>
      <c r="V7" s="12"/>
      <c r="W7" s="17"/>
      <c r="X7" s="12"/>
    </row>
    <row r="8" spans="1:21" ht="14.25" customHeight="1">
      <c r="A8" s="144" t="s">
        <v>24</v>
      </c>
      <c r="B8" s="145"/>
      <c r="C8" s="18" t="s">
        <v>25</v>
      </c>
      <c r="D8" s="18" t="s">
        <v>26</v>
      </c>
      <c r="E8" s="19" t="s">
        <v>27</v>
      </c>
      <c r="F8" s="18" t="s">
        <v>28</v>
      </c>
      <c r="G8" s="18" t="s">
        <v>29</v>
      </c>
      <c r="H8" s="20" t="s">
        <v>30</v>
      </c>
      <c r="I8" s="18" t="s">
        <v>31</v>
      </c>
      <c r="J8" s="18" t="s">
        <v>32</v>
      </c>
      <c r="K8" s="18" t="s">
        <v>33</v>
      </c>
      <c r="L8" s="21" t="s">
        <v>34</v>
      </c>
      <c r="M8" s="21" t="s">
        <v>35</v>
      </c>
      <c r="N8" s="21" t="s">
        <v>36</v>
      </c>
      <c r="O8" s="22" t="s">
        <v>37</v>
      </c>
      <c r="P8" s="21" t="s">
        <v>38</v>
      </c>
      <c r="Q8" s="19" t="s">
        <v>39</v>
      </c>
      <c r="R8" s="20" t="s">
        <v>40</v>
      </c>
      <c r="S8" s="18" t="s">
        <v>41</v>
      </c>
      <c r="T8" s="18" t="s">
        <v>42</v>
      </c>
      <c r="U8" s="18" t="s">
        <v>43</v>
      </c>
    </row>
    <row r="9" spans="1:24" s="30" customFormat="1" ht="16.5" customHeight="1">
      <c r="A9" s="146" t="s">
        <v>44</v>
      </c>
      <c r="B9" s="146"/>
      <c r="C9" s="23">
        <f aca="true" t="shared" si="0" ref="C9:C47">D9</f>
        <v>2383</v>
      </c>
      <c r="D9" s="23">
        <f>E9+F9</f>
        <v>2383</v>
      </c>
      <c r="E9" s="24">
        <f>SUM(E10,E16)</f>
        <v>807</v>
      </c>
      <c r="F9" s="25">
        <f>SUM(F10,F16)</f>
        <v>1576</v>
      </c>
      <c r="G9" s="25">
        <f>SUM(G10,G16)</f>
        <v>15</v>
      </c>
      <c r="H9" s="23">
        <f>SUM(H10:H16)</f>
        <v>0</v>
      </c>
      <c r="I9" s="23">
        <f>SUM(I11:I16)</f>
        <v>2368</v>
      </c>
      <c r="J9" s="23">
        <f aca="true" t="shared" si="1" ref="J9:T9">SUM(J11:J16)</f>
        <v>1988</v>
      </c>
      <c r="K9" s="23">
        <f t="shared" si="1"/>
        <v>1241</v>
      </c>
      <c r="L9" s="23">
        <f t="shared" si="1"/>
        <v>1207</v>
      </c>
      <c r="M9" s="23">
        <f t="shared" si="1"/>
        <v>34</v>
      </c>
      <c r="N9" s="23">
        <f t="shared" si="1"/>
        <v>743</v>
      </c>
      <c r="O9" s="23">
        <f t="shared" si="1"/>
        <v>0</v>
      </c>
      <c r="P9" s="23">
        <f t="shared" si="1"/>
        <v>4</v>
      </c>
      <c r="Q9" s="26">
        <f t="shared" si="1"/>
        <v>373</v>
      </c>
      <c r="R9" s="23">
        <f t="shared" si="1"/>
        <v>0</v>
      </c>
      <c r="S9" s="23">
        <f t="shared" si="1"/>
        <v>7</v>
      </c>
      <c r="T9" s="23">
        <f t="shared" si="1"/>
        <v>1127</v>
      </c>
      <c r="U9" s="27">
        <f aca="true" t="shared" si="2" ref="U9:U47">IF(J9&lt;&gt;0,K9/J9,"")</f>
        <v>0.6242454728370221</v>
      </c>
      <c r="V9" s="28">
        <f>IF(I9=C9-G9-H9,I9,"KT lai")</f>
        <v>2368</v>
      </c>
      <c r="W9" s="29" t="s">
        <v>45</v>
      </c>
      <c r="X9" s="28"/>
    </row>
    <row r="10" spans="1:24" s="40" customFormat="1" ht="21.75" customHeight="1">
      <c r="A10" s="31" t="s">
        <v>46</v>
      </c>
      <c r="B10" s="32" t="s">
        <v>47</v>
      </c>
      <c r="C10" s="33">
        <f t="shared" si="0"/>
        <v>197</v>
      </c>
      <c r="D10" s="33">
        <f>F10+E10</f>
        <v>197</v>
      </c>
      <c r="E10" s="34">
        <f>SUM(E11:E15)</f>
        <v>61</v>
      </c>
      <c r="F10" s="34">
        <f>SUM(F11:F15)</f>
        <v>136</v>
      </c>
      <c r="G10" s="34">
        <f>SUM(G11:G15)</f>
        <v>5</v>
      </c>
      <c r="H10" s="35">
        <f>SUM(H11:H16)</f>
        <v>0</v>
      </c>
      <c r="I10" s="33">
        <f>D10-G10-H10</f>
        <v>192</v>
      </c>
      <c r="J10" s="33">
        <f>L10+M10+N10+P10</f>
        <v>170</v>
      </c>
      <c r="K10" s="33">
        <f>M10+L10</f>
        <v>91</v>
      </c>
      <c r="L10" s="35">
        <f>SUM(L11:L15)</f>
        <v>91</v>
      </c>
      <c r="M10" s="35">
        <f>SUM(M11:M15)</f>
        <v>0</v>
      </c>
      <c r="N10" s="35">
        <f>SUM(N11:N15)</f>
        <v>79</v>
      </c>
      <c r="O10" s="35">
        <f>SUM(O11,O18)</f>
        <v>0</v>
      </c>
      <c r="P10" s="35">
        <f>SUM(P11:P15)</f>
        <v>0</v>
      </c>
      <c r="Q10" s="36">
        <f aca="true" t="shared" si="3" ref="Q10:Q47">I10-J10-R10-S10</f>
        <v>21</v>
      </c>
      <c r="R10" s="33">
        <f>SUM(R11:R16)</f>
        <v>0</v>
      </c>
      <c r="S10" s="35">
        <f>SUM(S11:S15)</f>
        <v>1</v>
      </c>
      <c r="T10" s="34">
        <f aca="true" t="shared" si="4" ref="T10:T47">N10+O10+P10+Q10+R10+S10</f>
        <v>101</v>
      </c>
      <c r="U10" s="37">
        <f t="shared" si="2"/>
        <v>0.5352941176470588</v>
      </c>
      <c r="V10" s="38">
        <f aca="true" t="shared" si="5" ref="V10:V47">IF(I10=C10-G10-H10,I10,"KT lai")</f>
        <v>192</v>
      </c>
      <c r="W10" s="39">
        <f aca="true" t="shared" si="6" ref="W10:W47">J10+Q10+S10</f>
        <v>192</v>
      </c>
      <c r="X10" s="39">
        <f>V10-W10</f>
        <v>0</v>
      </c>
    </row>
    <row r="11" spans="1:24" s="30" customFormat="1" ht="13.5" customHeight="1">
      <c r="A11" s="41">
        <v>1.1</v>
      </c>
      <c r="B11" s="42" t="s">
        <v>48</v>
      </c>
      <c r="C11" s="23">
        <f t="shared" si="0"/>
        <v>42</v>
      </c>
      <c r="D11" s="43">
        <f aca="true" t="shared" si="7" ref="D11:D47">F11+E11</f>
        <v>42</v>
      </c>
      <c r="E11" s="44">
        <f>'[2]04 Quy'!E11</f>
        <v>24</v>
      </c>
      <c r="F11" s="45">
        <v>18</v>
      </c>
      <c r="G11" s="45">
        <v>0</v>
      </c>
      <c r="H11" s="45">
        <v>0</v>
      </c>
      <c r="I11" s="43">
        <f aca="true" t="shared" si="8" ref="I11:I47">D11-G11-H11</f>
        <v>42</v>
      </c>
      <c r="J11" s="43">
        <f aca="true" t="shared" si="9" ref="J11:J47">L11+M11+N11+P11</f>
        <v>30</v>
      </c>
      <c r="K11" s="43">
        <f aca="true" t="shared" si="10" ref="K11:K47">M11+L11</f>
        <v>15</v>
      </c>
      <c r="L11" s="45">
        <v>15</v>
      </c>
      <c r="M11" s="45">
        <v>0</v>
      </c>
      <c r="N11" s="45">
        <v>15</v>
      </c>
      <c r="O11" s="45">
        <v>0</v>
      </c>
      <c r="P11" s="45">
        <v>0</v>
      </c>
      <c r="Q11" s="46">
        <f t="shared" si="3"/>
        <v>12</v>
      </c>
      <c r="R11" s="47"/>
      <c r="S11" s="45">
        <v>0</v>
      </c>
      <c r="T11" s="45">
        <f t="shared" si="4"/>
        <v>27</v>
      </c>
      <c r="U11" s="27">
        <f t="shared" si="2"/>
        <v>0.5</v>
      </c>
      <c r="V11" s="28">
        <f t="shared" si="5"/>
        <v>42</v>
      </c>
      <c r="W11" s="29">
        <f t="shared" si="6"/>
        <v>42</v>
      </c>
      <c r="X11" s="39">
        <f aca="true" t="shared" si="11" ref="X11:X47">V11-W11</f>
        <v>0</v>
      </c>
    </row>
    <row r="12" spans="1:24" s="30" customFormat="1" ht="13.5" customHeight="1">
      <c r="A12" s="41">
        <v>1.2</v>
      </c>
      <c r="B12" s="42" t="s">
        <v>49</v>
      </c>
      <c r="C12" s="23">
        <f t="shared" si="0"/>
        <v>47</v>
      </c>
      <c r="D12" s="43">
        <f t="shared" si="7"/>
        <v>47</v>
      </c>
      <c r="E12" s="44">
        <v>13</v>
      </c>
      <c r="F12" s="45">
        <v>34</v>
      </c>
      <c r="G12" s="45">
        <v>0</v>
      </c>
      <c r="H12" s="45">
        <v>0</v>
      </c>
      <c r="I12" s="43">
        <f t="shared" si="8"/>
        <v>47</v>
      </c>
      <c r="J12" s="43">
        <f t="shared" si="9"/>
        <v>43</v>
      </c>
      <c r="K12" s="43">
        <f t="shared" si="10"/>
        <v>16</v>
      </c>
      <c r="L12" s="45">
        <v>16</v>
      </c>
      <c r="M12" s="45">
        <v>0</v>
      </c>
      <c r="N12" s="45">
        <v>27</v>
      </c>
      <c r="O12" s="45">
        <v>0</v>
      </c>
      <c r="P12" s="45">
        <v>0</v>
      </c>
      <c r="Q12" s="46">
        <f t="shared" si="3"/>
        <v>4</v>
      </c>
      <c r="R12" s="47"/>
      <c r="S12" s="45">
        <v>0</v>
      </c>
      <c r="T12" s="45">
        <f t="shared" si="4"/>
        <v>31</v>
      </c>
      <c r="U12" s="27">
        <f t="shared" si="2"/>
        <v>0.37209302325581395</v>
      </c>
      <c r="V12" s="28">
        <f t="shared" si="5"/>
        <v>47</v>
      </c>
      <c r="W12" s="29">
        <f t="shared" si="6"/>
        <v>47</v>
      </c>
      <c r="X12" s="39">
        <f t="shared" si="11"/>
        <v>0</v>
      </c>
    </row>
    <row r="13" spans="1:24" s="30" customFormat="1" ht="13.5" customHeight="1">
      <c r="A13" s="41">
        <v>1.3</v>
      </c>
      <c r="B13" s="42" t="s">
        <v>50</v>
      </c>
      <c r="C13" s="23">
        <f t="shared" si="0"/>
        <v>51</v>
      </c>
      <c r="D13" s="43">
        <f t="shared" si="7"/>
        <v>51</v>
      </c>
      <c r="E13" s="48">
        <v>12</v>
      </c>
      <c r="F13" s="45">
        <v>39</v>
      </c>
      <c r="G13" s="45">
        <v>3</v>
      </c>
      <c r="H13" s="45">
        <v>0</v>
      </c>
      <c r="I13" s="43">
        <f t="shared" si="8"/>
        <v>48</v>
      </c>
      <c r="J13" s="43">
        <f t="shared" si="9"/>
        <v>44</v>
      </c>
      <c r="K13" s="43">
        <f t="shared" si="10"/>
        <v>34</v>
      </c>
      <c r="L13" s="45">
        <v>34</v>
      </c>
      <c r="M13" s="45">
        <v>0</v>
      </c>
      <c r="N13" s="45">
        <v>10</v>
      </c>
      <c r="O13" s="45">
        <v>0</v>
      </c>
      <c r="P13" s="45">
        <v>0</v>
      </c>
      <c r="Q13" s="46">
        <f t="shared" si="3"/>
        <v>3</v>
      </c>
      <c r="R13" s="47"/>
      <c r="S13" s="45">
        <v>1</v>
      </c>
      <c r="T13" s="45">
        <f t="shared" si="4"/>
        <v>14</v>
      </c>
      <c r="U13" s="27">
        <f t="shared" si="2"/>
        <v>0.7727272727272727</v>
      </c>
      <c r="V13" s="28">
        <f t="shared" si="5"/>
        <v>48</v>
      </c>
      <c r="W13" s="29">
        <f t="shared" si="6"/>
        <v>48</v>
      </c>
      <c r="X13" s="39">
        <f t="shared" si="11"/>
        <v>0</v>
      </c>
    </row>
    <row r="14" spans="1:24" s="30" customFormat="1" ht="13.5" customHeight="1">
      <c r="A14" s="41">
        <v>1.4</v>
      </c>
      <c r="B14" s="42" t="s">
        <v>51</v>
      </c>
      <c r="C14" s="23">
        <f t="shared" si="0"/>
        <v>29</v>
      </c>
      <c r="D14" s="43">
        <f>F14+E14</f>
        <v>29</v>
      </c>
      <c r="E14" s="44">
        <f>'[2]04 Hiep'!E11</f>
        <v>10</v>
      </c>
      <c r="F14" s="45">
        <v>19</v>
      </c>
      <c r="G14" s="45">
        <v>1</v>
      </c>
      <c r="H14" s="45">
        <v>0</v>
      </c>
      <c r="I14" s="43">
        <f>D14-G14-H14</f>
        <v>28</v>
      </c>
      <c r="J14" s="43">
        <f>L14+M14+N14+P14</f>
        <v>28</v>
      </c>
      <c r="K14" s="43">
        <f>M14+L14</f>
        <v>8</v>
      </c>
      <c r="L14" s="45">
        <v>8</v>
      </c>
      <c r="M14" s="45">
        <v>0</v>
      </c>
      <c r="N14" s="45">
        <v>20</v>
      </c>
      <c r="O14" s="45">
        <v>0</v>
      </c>
      <c r="P14" s="45">
        <v>0</v>
      </c>
      <c r="Q14" s="46">
        <f t="shared" si="3"/>
        <v>0</v>
      </c>
      <c r="R14" s="47"/>
      <c r="S14" s="45">
        <v>0</v>
      </c>
      <c r="T14" s="45">
        <f>N14+O14+P14+Q14+R14+S14</f>
        <v>20</v>
      </c>
      <c r="U14" s="27">
        <f>IF(J14&lt;&gt;0,K14/J14,"")</f>
        <v>0.2857142857142857</v>
      </c>
      <c r="V14" s="28">
        <f>IF(I14=C14-G14-H14,I14,"KT lai")</f>
        <v>28</v>
      </c>
      <c r="W14" s="29">
        <f>J14+Q14+S14</f>
        <v>28</v>
      </c>
      <c r="X14" s="39">
        <f t="shared" si="11"/>
        <v>0</v>
      </c>
    </row>
    <row r="15" spans="1:24" s="30" customFormat="1" ht="13.5" customHeight="1">
      <c r="A15" s="41">
        <v>1.5</v>
      </c>
      <c r="B15" s="42" t="s">
        <v>52</v>
      </c>
      <c r="C15" s="23">
        <f t="shared" si="0"/>
        <v>28</v>
      </c>
      <c r="D15" s="43">
        <f>F15+E15</f>
        <v>28</v>
      </c>
      <c r="E15" s="44">
        <f>'[2]04 hoan'!E10</f>
        <v>2</v>
      </c>
      <c r="F15" s="45">
        <v>26</v>
      </c>
      <c r="G15" s="45">
        <v>1</v>
      </c>
      <c r="H15" s="45">
        <v>0</v>
      </c>
      <c r="I15" s="43">
        <f>D15-G15-H15</f>
        <v>27</v>
      </c>
      <c r="J15" s="43">
        <f>L15+M15+N15+P15</f>
        <v>25</v>
      </c>
      <c r="K15" s="43">
        <f>M15+L15</f>
        <v>18</v>
      </c>
      <c r="L15" s="45">
        <v>18</v>
      </c>
      <c r="M15" s="45">
        <v>0</v>
      </c>
      <c r="N15" s="45">
        <v>7</v>
      </c>
      <c r="O15" s="45">
        <v>0</v>
      </c>
      <c r="P15" s="45">
        <v>0</v>
      </c>
      <c r="Q15" s="46">
        <f t="shared" si="3"/>
        <v>2</v>
      </c>
      <c r="R15" s="47"/>
      <c r="S15" s="45">
        <v>0</v>
      </c>
      <c r="T15" s="45">
        <f>N15+O15+P15+Q15+R15+S15</f>
        <v>9</v>
      </c>
      <c r="U15" s="27">
        <f>IF(J15&lt;&gt;0,K15/J15,"")</f>
        <v>0.72</v>
      </c>
      <c r="V15" s="28">
        <f>IF(I15=C15-G15-H15,I15,"KT lai")</f>
        <v>27</v>
      </c>
      <c r="W15" s="29">
        <f>J15+Q15+S15</f>
        <v>27</v>
      </c>
      <c r="X15" s="39">
        <f t="shared" si="11"/>
        <v>0</v>
      </c>
    </row>
    <row r="16" spans="1:24" s="40" customFormat="1" ht="22.5" customHeight="1">
      <c r="A16" s="31" t="s">
        <v>53</v>
      </c>
      <c r="B16" s="32" t="s">
        <v>54</v>
      </c>
      <c r="C16" s="33">
        <f t="shared" si="0"/>
        <v>2186</v>
      </c>
      <c r="D16" s="33">
        <f>D17+D22+D27+D32+D38+D43</f>
        <v>2186</v>
      </c>
      <c r="E16" s="35">
        <f>SUM(E17,E22,E27,E32,E38,E43)</f>
        <v>746</v>
      </c>
      <c r="F16" s="50">
        <f>SUM(F17,F22,F27,F32,F38,F43)</f>
        <v>1440</v>
      </c>
      <c r="G16" s="50">
        <f>SUM(G17,G22,G27,G32,G38,G43)</f>
        <v>10</v>
      </c>
      <c r="H16" s="50">
        <f>SUM(H17,H22,H27,H32,H38,H43)</f>
        <v>0</v>
      </c>
      <c r="I16" s="33">
        <f t="shared" si="8"/>
        <v>2176</v>
      </c>
      <c r="J16" s="33">
        <f t="shared" si="9"/>
        <v>1818</v>
      </c>
      <c r="K16" s="33">
        <f t="shared" si="10"/>
        <v>1150</v>
      </c>
      <c r="L16" s="50">
        <f>SUM(L17,L22,L27,L32,L38,L43)</f>
        <v>1116</v>
      </c>
      <c r="M16" s="50">
        <f>SUM(M17,M22,M27,M32,M38,M43)</f>
        <v>34</v>
      </c>
      <c r="N16" s="50">
        <f>SUM(N17,N22,N27,N32,N38,N43)</f>
        <v>664</v>
      </c>
      <c r="O16" s="50">
        <f>SUM(O17,O22,O27,O32,O38,O43)</f>
        <v>0</v>
      </c>
      <c r="P16" s="35">
        <f>SUM(P17,P22,P27,P32,P38,P43)</f>
        <v>4</v>
      </c>
      <c r="Q16" s="36">
        <f t="shared" si="3"/>
        <v>352</v>
      </c>
      <c r="R16" s="33">
        <f>R17+R22+R27+R32+R38+R43</f>
        <v>0</v>
      </c>
      <c r="S16" s="35">
        <f>SUM(S17,S22,S27,S32,S38,S43)</f>
        <v>6</v>
      </c>
      <c r="T16" s="33">
        <f>T17+T22+T27+T32+T38+T43</f>
        <v>1026</v>
      </c>
      <c r="U16" s="37">
        <f t="shared" si="2"/>
        <v>0.6325632563256326</v>
      </c>
      <c r="V16" s="38">
        <f t="shared" si="5"/>
        <v>2176</v>
      </c>
      <c r="W16" s="39">
        <f t="shared" si="6"/>
        <v>2176</v>
      </c>
      <c r="X16" s="39">
        <f t="shared" si="11"/>
        <v>0</v>
      </c>
    </row>
    <row r="17" spans="1:24" s="40" customFormat="1" ht="27.75" customHeight="1">
      <c r="A17" s="49">
        <v>1</v>
      </c>
      <c r="B17" s="32" t="s">
        <v>55</v>
      </c>
      <c r="C17" s="33">
        <f t="shared" si="0"/>
        <v>396</v>
      </c>
      <c r="D17" s="33">
        <f t="shared" si="7"/>
        <v>396</v>
      </c>
      <c r="E17" s="35">
        <f>SUM(E18:E21)</f>
        <v>149</v>
      </c>
      <c r="F17" s="50">
        <f>SUM(F18:F21)</f>
        <v>247</v>
      </c>
      <c r="G17" s="50">
        <f>SUM(G18:G21)</f>
        <v>3</v>
      </c>
      <c r="H17" s="50">
        <f>SUM(H18:H21)</f>
        <v>0</v>
      </c>
      <c r="I17" s="33">
        <f t="shared" si="8"/>
        <v>393</v>
      </c>
      <c r="J17" s="33">
        <f t="shared" si="9"/>
        <v>307</v>
      </c>
      <c r="K17" s="33">
        <f t="shared" si="10"/>
        <v>216</v>
      </c>
      <c r="L17" s="50">
        <f>SUM(L18:L21)</f>
        <v>216</v>
      </c>
      <c r="M17" s="50">
        <f>SUM(M18:M21)</f>
        <v>0</v>
      </c>
      <c r="N17" s="50">
        <f>SUM(N18:N21)</f>
        <v>88</v>
      </c>
      <c r="O17" s="50">
        <f>SUM(O18:O21)</f>
        <v>0</v>
      </c>
      <c r="P17" s="35">
        <f>SUM(P18:P21)</f>
        <v>3</v>
      </c>
      <c r="Q17" s="36">
        <f t="shared" si="3"/>
        <v>86</v>
      </c>
      <c r="R17" s="51"/>
      <c r="S17" s="35">
        <f>SUM(S18:S21)</f>
        <v>0</v>
      </c>
      <c r="T17" s="35">
        <f t="shared" si="4"/>
        <v>177</v>
      </c>
      <c r="U17" s="37">
        <f t="shared" si="2"/>
        <v>0.7035830618892508</v>
      </c>
      <c r="V17" s="38">
        <f t="shared" si="5"/>
        <v>393</v>
      </c>
      <c r="W17" s="39">
        <f t="shared" si="6"/>
        <v>393</v>
      </c>
      <c r="X17" s="39">
        <f t="shared" si="11"/>
        <v>0</v>
      </c>
    </row>
    <row r="18" spans="1:24" s="30" customFormat="1" ht="17.25" customHeight="1">
      <c r="A18" s="41">
        <v>1.1</v>
      </c>
      <c r="B18" s="42" t="s">
        <v>56</v>
      </c>
      <c r="C18" s="43">
        <f t="shared" si="0"/>
        <v>105</v>
      </c>
      <c r="D18" s="43">
        <f t="shared" si="7"/>
        <v>105</v>
      </c>
      <c r="E18" s="48">
        <v>37</v>
      </c>
      <c r="F18" s="45">
        <v>68</v>
      </c>
      <c r="G18" s="45">
        <v>1</v>
      </c>
      <c r="H18" s="45">
        <v>0</v>
      </c>
      <c r="I18" s="43">
        <f t="shared" si="8"/>
        <v>104</v>
      </c>
      <c r="J18" s="43">
        <f t="shared" si="9"/>
        <v>85</v>
      </c>
      <c r="K18" s="43">
        <f t="shared" si="10"/>
        <v>59</v>
      </c>
      <c r="L18" s="45">
        <v>59</v>
      </c>
      <c r="M18" s="45">
        <v>0</v>
      </c>
      <c r="N18" s="45">
        <v>24</v>
      </c>
      <c r="O18" s="45">
        <v>0</v>
      </c>
      <c r="P18" s="45">
        <v>2</v>
      </c>
      <c r="Q18" s="46">
        <f t="shared" si="3"/>
        <v>19</v>
      </c>
      <c r="R18" s="47"/>
      <c r="S18" s="45">
        <v>0</v>
      </c>
      <c r="T18" s="50">
        <f t="shared" si="4"/>
        <v>45</v>
      </c>
      <c r="U18" s="27">
        <f t="shared" si="2"/>
        <v>0.6941176470588235</v>
      </c>
      <c r="V18" s="28">
        <f t="shared" si="5"/>
        <v>104</v>
      </c>
      <c r="W18" s="29">
        <f t="shared" si="6"/>
        <v>104</v>
      </c>
      <c r="X18" s="39">
        <f t="shared" si="11"/>
        <v>0</v>
      </c>
    </row>
    <row r="19" spans="1:24" s="30" customFormat="1" ht="13.5" customHeight="1">
      <c r="A19" s="41">
        <v>1.2</v>
      </c>
      <c r="B19" s="42" t="s">
        <v>57</v>
      </c>
      <c r="C19" s="43">
        <f t="shared" si="0"/>
        <v>101</v>
      </c>
      <c r="D19" s="43">
        <f t="shared" si="7"/>
        <v>101</v>
      </c>
      <c r="E19" s="48">
        <v>53</v>
      </c>
      <c r="F19" s="45">
        <v>48</v>
      </c>
      <c r="G19" s="45">
        <v>2</v>
      </c>
      <c r="H19" s="45">
        <v>0</v>
      </c>
      <c r="I19" s="43">
        <f t="shared" si="8"/>
        <v>99</v>
      </c>
      <c r="J19" s="43">
        <f t="shared" si="9"/>
        <v>63</v>
      </c>
      <c r="K19" s="43">
        <f t="shared" si="10"/>
        <v>38</v>
      </c>
      <c r="L19" s="45">
        <v>38</v>
      </c>
      <c r="M19" s="45">
        <v>0</v>
      </c>
      <c r="N19" s="45">
        <v>25</v>
      </c>
      <c r="O19" s="45">
        <v>0</v>
      </c>
      <c r="P19" s="45">
        <v>0</v>
      </c>
      <c r="Q19" s="46">
        <f t="shared" si="3"/>
        <v>36</v>
      </c>
      <c r="R19" s="47"/>
      <c r="S19" s="45">
        <v>0</v>
      </c>
      <c r="T19" s="45">
        <f t="shared" si="4"/>
        <v>61</v>
      </c>
      <c r="U19" s="27">
        <f t="shared" si="2"/>
        <v>0.6031746031746031</v>
      </c>
      <c r="V19" s="28">
        <f t="shared" si="5"/>
        <v>99</v>
      </c>
      <c r="W19" s="29">
        <f t="shared" si="6"/>
        <v>99</v>
      </c>
      <c r="X19" s="39">
        <f t="shared" si="11"/>
        <v>0</v>
      </c>
    </row>
    <row r="20" spans="1:24" s="30" customFormat="1" ht="13.5" customHeight="1">
      <c r="A20" s="41">
        <v>1.3</v>
      </c>
      <c r="B20" s="42" t="s">
        <v>58</v>
      </c>
      <c r="C20" s="43">
        <f t="shared" si="0"/>
        <v>130</v>
      </c>
      <c r="D20" s="43">
        <f t="shared" si="7"/>
        <v>130</v>
      </c>
      <c r="E20" s="48">
        <v>44</v>
      </c>
      <c r="F20" s="45">
        <v>86</v>
      </c>
      <c r="G20" s="45">
        <v>0</v>
      </c>
      <c r="H20" s="45">
        <v>0</v>
      </c>
      <c r="I20" s="43">
        <f t="shared" si="8"/>
        <v>130</v>
      </c>
      <c r="J20" s="43">
        <f t="shared" si="9"/>
        <v>109</v>
      </c>
      <c r="K20" s="43">
        <f t="shared" si="10"/>
        <v>78</v>
      </c>
      <c r="L20" s="45">
        <v>78</v>
      </c>
      <c r="M20" s="45">
        <v>0</v>
      </c>
      <c r="N20" s="45">
        <v>30</v>
      </c>
      <c r="O20" s="45">
        <v>0</v>
      </c>
      <c r="P20" s="45">
        <v>1</v>
      </c>
      <c r="Q20" s="46">
        <f t="shared" si="3"/>
        <v>21</v>
      </c>
      <c r="R20" s="47"/>
      <c r="S20" s="45">
        <v>0</v>
      </c>
      <c r="T20" s="45">
        <f t="shared" si="4"/>
        <v>52</v>
      </c>
      <c r="U20" s="27">
        <f t="shared" si="2"/>
        <v>0.7155963302752294</v>
      </c>
      <c r="V20" s="28">
        <f t="shared" si="5"/>
        <v>130</v>
      </c>
      <c r="W20" s="29">
        <f t="shared" si="6"/>
        <v>130</v>
      </c>
      <c r="X20" s="39">
        <f t="shared" si="11"/>
        <v>0</v>
      </c>
    </row>
    <row r="21" spans="1:24" s="30" customFormat="1" ht="13.5" customHeight="1">
      <c r="A21" s="41">
        <v>1.4</v>
      </c>
      <c r="B21" s="42" t="s">
        <v>59</v>
      </c>
      <c r="C21" s="43">
        <f t="shared" si="0"/>
        <v>60</v>
      </c>
      <c r="D21" s="43">
        <f t="shared" si="7"/>
        <v>60</v>
      </c>
      <c r="E21" s="48">
        <v>15</v>
      </c>
      <c r="F21" s="45">
        <v>45</v>
      </c>
      <c r="G21" s="45">
        <v>0</v>
      </c>
      <c r="H21" s="45">
        <v>0</v>
      </c>
      <c r="I21" s="43">
        <f t="shared" si="8"/>
        <v>60</v>
      </c>
      <c r="J21" s="43">
        <f t="shared" si="9"/>
        <v>50</v>
      </c>
      <c r="K21" s="43">
        <f t="shared" si="10"/>
        <v>41</v>
      </c>
      <c r="L21" s="45">
        <v>41</v>
      </c>
      <c r="M21" s="45">
        <v>0</v>
      </c>
      <c r="N21" s="45">
        <v>9</v>
      </c>
      <c r="O21" s="45">
        <v>0</v>
      </c>
      <c r="P21" s="45">
        <v>0</v>
      </c>
      <c r="Q21" s="46">
        <f t="shared" si="3"/>
        <v>10</v>
      </c>
      <c r="R21" s="47"/>
      <c r="S21" s="45">
        <v>0</v>
      </c>
      <c r="T21" s="45">
        <f t="shared" si="4"/>
        <v>19</v>
      </c>
      <c r="U21" s="27">
        <f t="shared" si="2"/>
        <v>0.82</v>
      </c>
      <c r="V21" s="28">
        <f t="shared" si="5"/>
        <v>60</v>
      </c>
      <c r="W21" s="29">
        <f t="shared" si="6"/>
        <v>60</v>
      </c>
      <c r="X21" s="39">
        <f t="shared" si="11"/>
        <v>0</v>
      </c>
    </row>
    <row r="22" spans="1:24" s="40" customFormat="1" ht="28.5" customHeight="1">
      <c r="A22" s="49">
        <v>2</v>
      </c>
      <c r="B22" s="32" t="s">
        <v>60</v>
      </c>
      <c r="C22" s="33">
        <f t="shared" si="0"/>
        <v>273</v>
      </c>
      <c r="D22" s="33">
        <f t="shared" si="7"/>
        <v>273</v>
      </c>
      <c r="E22" s="35">
        <f>SUM(E23:E26)</f>
        <v>79</v>
      </c>
      <c r="F22" s="50">
        <f>SUM(F23:F26)</f>
        <v>194</v>
      </c>
      <c r="G22" s="50">
        <f>SUM(G23:G26)</f>
        <v>1</v>
      </c>
      <c r="H22" s="50">
        <f>SUM(H23:H26)</f>
        <v>0</v>
      </c>
      <c r="I22" s="33">
        <f t="shared" si="8"/>
        <v>272</v>
      </c>
      <c r="J22" s="33">
        <f t="shared" si="9"/>
        <v>254</v>
      </c>
      <c r="K22" s="33">
        <f t="shared" si="10"/>
        <v>183</v>
      </c>
      <c r="L22" s="50">
        <f>SUM(L23:L26)</f>
        <v>171</v>
      </c>
      <c r="M22" s="50">
        <f>SUM(M23:M26)</f>
        <v>12</v>
      </c>
      <c r="N22" s="50">
        <f>SUM(N23:N26)</f>
        <v>71</v>
      </c>
      <c r="O22" s="50">
        <f>SUM(O23:O26)</f>
        <v>0</v>
      </c>
      <c r="P22" s="35">
        <f>SUM(P23:P26)</f>
        <v>0</v>
      </c>
      <c r="Q22" s="36">
        <f t="shared" si="3"/>
        <v>18</v>
      </c>
      <c r="R22" s="51"/>
      <c r="S22" s="35">
        <f>SUM(S23:S26)</f>
        <v>0</v>
      </c>
      <c r="T22" s="36">
        <f t="shared" si="4"/>
        <v>89</v>
      </c>
      <c r="U22" s="37">
        <f t="shared" si="2"/>
        <v>0.7204724409448819</v>
      </c>
      <c r="V22" s="38">
        <f t="shared" si="5"/>
        <v>272</v>
      </c>
      <c r="W22" s="39">
        <f t="shared" si="6"/>
        <v>272</v>
      </c>
      <c r="X22" s="39">
        <f t="shared" si="11"/>
        <v>0</v>
      </c>
    </row>
    <row r="23" spans="1:24" s="30" customFormat="1" ht="18" customHeight="1">
      <c r="A23" s="41">
        <v>2.1</v>
      </c>
      <c r="B23" s="42" t="s">
        <v>61</v>
      </c>
      <c r="C23" s="43">
        <f t="shared" si="0"/>
        <v>118</v>
      </c>
      <c r="D23" s="43">
        <f t="shared" si="7"/>
        <v>118</v>
      </c>
      <c r="E23" s="141">
        <v>25</v>
      </c>
      <c r="F23" s="45">
        <v>93</v>
      </c>
      <c r="G23" s="45">
        <v>1</v>
      </c>
      <c r="H23" s="45">
        <v>0</v>
      </c>
      <c r="I23" s="43">
        <f t="shared" si="8"/>
        <v>117</v>
      </c>
      <c r="J23" s="43">
        <f t="shared" si="9"/>
        <v>114</v>
      </c>
      <c r="K23" s="43">
        <f t="shared" si="10"/>
        <v>88</v>
      </c>
      <c r="L23" s="45">
        <v>86</v>
      </c>
      <c r="M23" s="45">
        <v>2</v>
      </c>
      <c r="N23" s="45">
        <v>26</v>
      </c>
      <c r="O23" s="45">
        <v>0</v>
      </c>
      <c r="P23" s="45">
        <v>0</v>
      </c>
      <c r="Q23" s="52">
        <f t="shared" si="3"/>
        <v>3</v>
      </c>
      <c r="R23" s="47"/>
      <c r="S23" s="45">
        <v>0</v>
      </c>
      <c r="T23" s="50">
        <f t="shared" si="4"/>
        <v>29</v>
      </c>
      <c r="U23" s="27">
        <f t="shared" si="2"/>
        <v>0.7719298245614035</v>
      </c>
      <c r="V23" s="28">
        <f t="shared" si="5"/>
        <v>117</v>
      </c>
      <c r="W23" s="29">
        <f t="shared" si="6"/>
        <v>117</v>
      </c>
      <c r="X23" s="39">
        <f t="shared" si="11"/>
        <v>0</v>
      </c>
    </row>
    <row r="24" spans="1:24" s="30" customFormat="1" ht="13.5" customHeight="1">
      <c r="A24" s="41">
        <v>2.2</v>
      </c>
      <c r="B24" s="42" t="s">
        <v>62</v>
      </c>
      <c r="C24" s="43">
        <f t="shared" si="0"/>
        <v>67</v>
      </c>
      <c r="D24" s="43">
        <f t="shared" si="7"/>
        <v>67</v>
      </c>
      <c r="E24" s="141">
        <v>22</v>
      </c>
      <c r="F24" s="45">
        <v>45</v>
      </c>
      <c r="G24" s="45">
        <v>0</v>
      </c>
      <c r="H24" s="45">
        <v>0</v>
      </c>
      <c r="I24" s="43">
        <f t="shared" si="8"/>
        <v>67</v>
      </c>
      <c r="J24" s="43">
        <f t="shared" si="9"/>
        <v>64</v>
      </c>
      <c r="K24" s="43">
        <f t="shared" si="10"/>
        <v>38</v>
      </c>
      <c r="L24" s="45">
        <v>33</v>
      </c>
      <c r="M24" s="45">
        <v>5</v>
      </c>
      <c r="N24" s="45">
        <v>26</v>
      </c>
      <c r="O24" s="45">
        <v>0</v>
      </c>
      <c r="P24" s="45">
        <v>0</v>
      </c>
      <c r="Q24" s="52">
        <f t="shared" si="3"/>
        <v>3</v>
      </c>
      <c r="R24" s="47"/>
      <c r="S24" s="45">
        <v>0</v>
      </c>
      <c r="T24" s="45">
        <f t="shared" si="4"/>
        <v>29</v>
      </c>
      <c r="U24" s="27">
        <f t="shared" si="2"/>
        <v>0.59375</v>
      </c>
      <c r="V24" s="28">
        <f t="shared" si="5"/>
        <v>67</v>
      </c>
      <c r="W24" s="29">
        <f t="shared" si="6"/>
        <v>67</v>
      </c>
      <c r="X24" s="39">
        <f t="shared" si="11"/>
        <v>0</v>
      </c>
    </row>
    <row r="25" spans="1:24" s="30" customFormat="1" ht="13.5" customHeight="1">
      <c r="A25" s="41">
        <v>2.3</v>
      </c>
      <c r="B25" s="42" t="s">
        <v>63</v>
      </c>
      <c r="C25" s="43">
        <f t="shared" si="0"/>
        <v>72</v>
      </c>
      <c r="D25" s="43">
        <f t="shared" si="7"/>
        <v>72</v>
      </c>
      <c r="E25" s="141">
        <v>32</v>
      </c>
      <c r="F25" s="45">
        <v>40</v>
      </c>
      <c r="G25" s="45">
        <v>0</v>
      </c>
      <c r="H25" s="45">
        <v>0</v>
      </c>
      <c r="I25" s="43">
        <f t="shared" si="8"/>
        <v>72</v>
      </c>
      <c r="J25" s="43">
        <f t="shared" si="9"/>
        <v>60</v>
      </c>
      <c r="K25" s="43">
        <f t="shared" si="10"/>
        <v>41</v>
      </c>
      <c r="L25" s="45">
        <v>36</v>
      </c>
      <c r="M25" s="45">
        <v>5</v>
      </c>
      <c r="N25" s="45">
        <v>19</v>
      </c>
      <c r="O25" s="45">
        <v>0</v>
      </c>
      <c r="P25" s="45">
        <v>0</v>
      </c>
      <c r="Q25" s="52">
        <f t="shared" si="3"/>
        <v>12</v>
      </c>
      <c r="R25" s="47"/>
      <c r="S25" s="45">
        <v>0</v>
      </c>
      <c r="T25" s="45">
        <f t="shared" si="4"/>
        <v>31</v>
      </c>
      <c r="U25" s="27">
        <f t="shared" si="2"/>
        <v>0.6833333333333333</v>
      </c>
      <c r="V25" s="28">
        <f t="shared" si="5"/>
        <v>72</v>
      </c>
      <c r="W25" s="29">
        <f t="shared" si="6"/>
        <v>72</v>
      </c>
      <c r="X25" s="39">
        <f t="shared" si="11"/>
        <v>0</v>
      </c>
    </row>
    <row r="26" spans="1:24" s="30" customFormat="1" ht="13.5" customHeight="1">
      <c r="A26" s="41">
        <v>2.4</v>
      </c>
      <c r="B26" s="42" t="s">
        <v>64</v>
      </c>
      <c r="C26" s="43">
        <f t="shared" si="0"/>
        <v>16</v>
      </c>
      <c r="D26" s="43">
        <f t="shared" si="7"/>
        <v>16</v>
      </c>
      <c r="E26" s="141">
        <v>0</v>
      </c>
      <c r="F26" s="45">
        <v>16</v>
      </c>
      <c r="G26" s="45">
        <v>0</v>
      </c>
      <c r="H26" s="45">
        <v>0</v>
      </c>
      <c r="I26" s="43">
        <f t="shared" si="8"/>
        <v>16</v>
      </c>
      <c r="J26" s="43">
        <f t="shared" si="9"/>
        <v>16</v>
      </c>
      <c r="K26" s="43">
        <f t="shared" si="10"/>
        <v>16</v>
      </c>
      <c r="L26" s="45">
        <v>16</v>
      </c>
      <c r="M26" s="45">
        <v>0</v>
      </c>
      <c r="N26" s="45">
        <v>0</v>
      </c>
      <c r="O26" s="45">
        <v>0</v>
      </c>
      <c r="P26" s="45">
        <v>0</v>
      </c>
      <c r="Q26" s="52">
        <f t="shared" si="3"/>
        <v>0</v>
      </c>
      <c r="R26" s="47"/>
      <c r="S26" s="45">
        <v>0</v>
      </c>
      <c r="T26" s="45">
        <f t="shared" si="4"/>
        <v>0</v>
      </c>
      <c r="U26" s="27">
        <f t="shared" si="2"/>
        <v>1</v>
      </c>
      <c r="V26" s="28">
        <f t="shared" si="5"/>
        <v>16</v>
      </c>
      <c r="W26" s="29">
        <f t="shared" si="6"/>
        <v>16</v>
      </c>
      <c r="X26" s="39">
        <f t="shared" si="11"/>
        <v>0</v>
      </c>
    </row>
    <row r="27" spans="1:24" s="40" customFormat="1" ht="24.75" customHeight="1">
      <c r="A27" s="49">
        <v>3</v>
      </c>
      <c r="B27" s="32" t="s">
        <v>65</v>
      </c>
      <c r="C27" s="33">
        <f t="shared" si="0"/>
        <v>306</v>
      </c>
      <c r="D27" s="33">
        <f t="shared" si="7"/>
        <v>306</v>
      </c>
      <c r="E27" s="35">
        <f>SUM(E28:E31)</f>
        <v>75</v>
      </c>
      <c r="F27" s="50">
        <f>SUM(F28:F31)</f>
        <v>231</v>
      </c>
      <c r="G27" s="50">
        <f>SUM(G28:G31)</f>
        <v>3</v>
      </c>
      <c r="H27" s="50">
        <f>SUM(H28:H31)</f>
        <v>0</v>
      </c>
      <c r="I27" s="33">
        <f t="shared" si="8"/>
        <v>303</v>
      </c>
      <c r="J27" s="33">
        <f t="shared" si="9"/>
        <v>276</v>
      </c>
      <c r="K27" s="33">
        <f t="shared" si="10"/>
        <v>124</v>
      </c>
      <c r="L27" s="50">
        <f>SUM(L28:L31)</f>
        <v>124</v>
      </c>
      <c r="M27" s="50">
        <f>SUM(M28:M31)</f>
        <v>0</v>
      </c>
      <c r="N27" s="50">
        <f>SUM(N28:N31)</f>
        <v>152</v>
      </c>
      <c r="O27" s="50">
        <f>SUM(O28:O31)</f>
        <v>0</v>
      </c>
      <c r="P27" s="35">
        <f>SUM(P28:P31)</f>
        <v>0</v>
      </c>
      <c r="Q27" s="36">
        <f t="shared" si="3"/>
        <v>25</v>
      </c>
      <c r="R27" s="51"/>
      <c r="S27" s="35">
        <f>SUM(S28:S31)</f>
        <v>2</v>
      </c>
      <c r="T27" s="36">
        <f t="shared" si="4"/>
        <v>179</v>
      </c>
      <c r="U27" s="37">
        <f t="shared" si="2"/>
        <v>0.4492753623188406</v>
      </c>
      <c r="V27" s="38">
        <f t="shared" si="5"/>
        <v>303</v>
      </c>
      <c r="W27" s="39">
        <f t="shared" si="6"/>
        <v>303</v>
      </c>
      <c r="X27" s="39">
        <f t="shared" si="11"/>
        <v>0</v>
      </c>
    </row>
    <row r="28" spans="1:24" s="30" customFormat="1" ht="21.75" customHeight="1">
      <c r="A28" s="41">
        <v>3.1</v>
      </c>
      <c r="B28" s="42" t="s">
        <v>66</v>
      </c>
      <c r="C28" s="43">
        <f t="shared" si="0"/>
        <v>39</v>
      </c>
      <c r="D28" s="43">
        <f t="shared" si="7"/>
        <v>39</v>
      </c>
      <c r="E28" s="44">
        <v>13</v>
      </c>
      <c r="F28" s="45">
        <v>26</v>
      </c>
      <c r="G28" s="45">
        <v>0</v>
      </c>
      <c r="H28" s="45">
        <v>0</v>
      </c>
      <c r="I28" s="43">
        <f t="shared" si="8"/>
        <v>39</v>
      </c>
      <c r="J28" s="43">
        <f t="shared" si="9"/>
        <v>33</v>
      </c>
      <c r="K28" s="43">
        <f t="shared" si="10"/>
        <v>14</v>
      </c>
      <c r="L28" s="45">
        <v>14</v>
      </c>
      <c r="M28" s="45">
        <v>0</v>
      </c>
      <c r="N28" s="45">
        <v>19</v>
      </c>
      <c r="O28" s="45">
        <v>0</v>
      </c>
      <c r="P28" s="45">
        <v>0</v>
      </c>
      <c r="Q28" s="53">
        <f t="shared" si="3"/>
        <v>6</v>
      </c>
      <c r="R28" s="47"/>
      <c r="S28" s="45">
        <v>0</v>
      </c>
      <c r="T28" s="50">
        <f t="shared" si="4"/>
        <v>25</v>
      </c>
      <c r="U28" s="27">
        <f t="shared" si="2"/>
        <v>0.42424242424242425</v>
      </c>
      <c r="V28" s="28">
        <f t="shared" si="5"/>
        <v>39</v>
      </c>
      <c r="W28" s="29">
        <f t="shared" si="6"/>
        <v>39</v>
      </c>
      <c r="X28" s="39">
        <f t="shared" si="11"/>
        <v>0</v>
      </c>
    </row>
    <row r="29" spans="1:24" s="30" customFormat="1" ht="13.5" customHeight="1">
      <c r="A29" s="41">
        <v>3.2</v>
      </c>
      <c r="B29" s="42" t="s">
        <v>67</v>
      </c>
      <c r="C29" s="43">
        <f t="shared" si="0"/>
        <v>124</v>
      </c>
      <c r="D29" s="43">
        <f t="shared" si="7"/>
        <v>124</v>
      </c>
      <c r="E29" s="44">
        <v>32</v>
      </c>
      <c r="F29" s="45">
        <v>92</v>
      </c>
      <c r="G29" s="45">
        <v>1</v>
      </c>
      <c r="H29" s="45">
        <v>0</v>
      </c>
      <c r="I29" s="43">
        <f t="shared" si="8"/>
        <v>123</v>
      </c>
      <c r="J29" s="43">
        <f t="shared" si="9"/>
        <v>107</v>
      </c>
      <c r="K29" s="43">
        <f t="shared" si="10"/>
        <v>45</v>
      </c>
      <c r="L29" s="45">
        <v>45</v>
      </c>
      <c r="M29" s="45">
        <v>0</v>
      </c>
      <c r="N29" s="45">
        <v>62</v>
      </c>
      <c r="O29" s="45">
        <v>0</v>
      </c>
      <c r="P29" s="45">
        <v>0</v>
      </c>
      <c r="Q29" s="53">
        <f t="shared" si="3"/>
        <v>14</v>
      </c>
      <c r="R29" s="47"/>
      <c r="S29" s="45">
        <v>2</v>
      </c>
      <c r="T29" s="45">
        <f t="shared" si="4"/>
        <v>78</v>
      </c>
      <c r="U29" s="27">
        <f t="shared" si="2"/>
        <v>0.4205607476635514</v>
      </c>
      <c r="V29" s="28">
        <f t="shared" si="5"/>
        <v>123</v>
      </c>
      <c r="W29" s="29">
        <f t="shared" si="6"/>
        <v>123</v>
      </c>
      <c r="X29" s="39">
        <f t="shared" si="11"/>
        <v>0</v>
      </c>
    </row>
    <row r="30" spans="1:24" s="30" customFormat="1" ht="13.5" customHeight="1">
      <c r="A30" s="41">
        <v>3.3</v>
      </c>
      <c r="B30" s="42" t="s">
        <v>68</v>
      </c>
      <c r="C30" s="43">
        <f t="shared" si="0"/>
        <v>102</v>
      </c>
      <c r="D30" s="43">
        <f t="shared" si="7"/>
        <v>102</v>
      </c>
      <c r="E30" s="44">
        <v>22</v>
      </c>
      <c r="F30" s="45">
        <v>80</v>
      </c>
      <c r="G30" s="45">
        <v>2</v>
      </c>
      <c r="H30" s="45">
        <v>0</v>
      </c>
      <c r="I30" s="43">
        <f t="shared" si="8"/>
        <v>100</v>
      </c>
      <c r="J30" s="43">
        <f t="shared" si="9"/>
        <v>95</v>
      </c>
      <c r="K30" s="43">
        <f t="shared" si="10"/>
        <v>49</v>
      </c>
      <c r="L30" s="45">
        <v>49</v>
      </c>
      <c r="M30" s="45">
        <v>0</v>
      </c>
      <c r="N30" s="45">
        <v>46</v>
      </c>
      <c r="O30" s="45">
        <v>0</v>
      </c>
      <c r="P30" s="45">
        <v>0</v>
      </c>
      <c r="Q30" s="53">
        <f t="shared" si="3"/>
        <v>5</v>
      </c>
      <c r="R30" s="47"/>
      <c r="S30" s="45">
        <v>0</v>
      </c>
      <c r="T30" s="45">
        <f t="shared" si="4"/>
        <v>51</v>
      </c>
      <c r="U30" s="27">
        <f t="shared" si="2"/>
        <v>0.5157894736842106</v>
      </c>
      <c r="V30" s="28">
        <f t="shared" si="5"/>
        <v>100</v>
      </c>
      <c r="W30" s="29">
        <f t="shared" si="6"/>
        <v>100</v>
      </c>
      <c r="X30" s="39">
        <f t="shared" si="11"/>
        <v>0</v>
      </c>
    </row>
    <row r="31" spans="1:24" s="30" customFormat="1" ht="13.5" customHeight="1">
      <c r="A31" s="41">
        <v>3.4</v>
      </c>
      <c r="B31" s="42" t="s">
        <v>69</v>
      </c>
      <c r="C31" s="43">
        <f t="shared" si="0"/>
        <v>41</v>
      </c>
      <c r="D31" s="43">
        <f t="shared" si="7"/>
        <v>41</v>
      </c>
      <c r="E31" s="44">
        <v>8</v>
      </c>
      <c r="F31" s="45">
        <v>33</v>
      </c>
      <c r="G31" s="45">
        <v>0</v>
      </c>
      <c r="H31" s="45">
        <v>0</v>
      </c>
      <c r="I31" s="43">
        <f t="shared" si="8"/>
        <v>41</v>
      </c>
      <c r="J31" s="43">
        <f t="shared" si="9"/>
        <v>41</v>
      </c>
      <c r="K31" s="43">
        <f t="shared" si="10"/>
        <v>16</v>
      </c>
      <c r="L31" s="45">
        <v>16</v>
      </c>
      <c r="M31" s="45">
        <v>0</v>
      </c>
      <c r="N31" s="45">
        <v>25</v>
      </c>
      <c r="O31" s="45">
        <v>0</v>
      </c>
      <c r="P31" s="45">
        <v>0</v>
      </c>
      <c r="Q31" s="53">
        <f t="shared" si="3"/>
        <v>0</v>
      </c>
      <c r="R31" s="47"/>
      <c r="S31" s="45">
        <v>0</v>
      </c>
      <c r="T31" s="45">
        <f t="shared" si="4"/>
        <v>25</v>
      </c>
      <c r="U31" s="27">
        <f t="shared" si="2"/>
        <v>0.3902439024390244</v>
      </c>
      <c r="V31" s="28">
        <f t="shared" si="5"/>
        <v>41</v>
      </c>
      <c r="W31" s="29">
        <f t="shared" si="6"/>
        <v>41</v>
      </c>
      <c r="X31" s="39">
        <f t="shared" si="11"/>
        <v>0</v>
      </c>
    </row>
    <row r="32" spans="1:24" s="40" customFormat="1" ht="22.5" customHeight="1">
      <c r="A32" s="49">
        <v>4</v>
      </c>
      <c r="B32" s="32" t="s">
        <v>70</v>
      </c>
      <c r="C32" s="33">
        <f t="shared" si="0"/>
        <v>227</v>
      </c>
      <c r="D32" s="33">
        <f t="shared" si="7"/>
        <v>227</v>
      </c>
      <c r="E32" s="35">
        <f>SUM(E33:E37)</f>
        <v>51</v>
      </c>
      <c r="F32" s="50">
        <f>SUM(F33:F37)</f>
        <v>176</v>
      </c>
      <c r="G32" s="50">
        <f>SUM(G33:G37)</f>
        <v>1</v>
      </c>
      <c r="H32" s="50">
        <f>SUM(H33:H37)</f>
        <v>0</v>
      </c>
      <c r="I32" s="33">
        <f t="shared" si="8"/>
        <v>226</v>
      </c>
      <c r="J32" s="33">
        <f t="shared" si="9"/>
        <v>200</v>
      </c>
      <c r="K32" s="33">
        <f t="shared" si="10"/>
        <v>166</v>
      </c>
      <c r="L32" s="50">
        <f>SUM(L33:L37)</f>
        <v>166</v>
      </c>
      <c r="M32" s="50">
        <f>SUM(M33:M37)</f>
        <v>0</v>
      </c>
      <c r="N32" s="50">
        <f>SUM(N33:N37)</f>
        <v>33</v>
      </c>
      <c r="O32" s="50">
        <f>SUM(O33:O37)</f>
        <v>0</v>
      </c>
      <c r="P32" s="35">
        <f>SUM(P33:P37)</f>
        <v>1</v>
      </c>
      <c r="Q32" s="36">
        <f t="shared" si="3"/>
        <v>22</v>
      </c>
      <c r="R32" s="51"/>
      <c r="S32" s="35">
        <f>SUM(S33:S37)</f>
        <v>4</v>
      </c>
      <c r="T32" s="36">
        <f t="shared" si="4"/>
        <v>60</v>
      </c>
      <c r="U32" s="37">
        <f t="shared" si="2"/>
        <v>0.83</v>
      </c>
      <c r="V32" s="38">
        <f t="shared" si="5"/>
        <v>226</v>
      </c>
      <c r="W32" s="39">
        <f t="shared" si="6"/>
        <v>226</v>
      </c>
      <c r="X32" s="39">
        <f t="shared" si="11"/>
        <v>0</v>
      </c>
    </row>
    <row r="33" spans="1:24" s="30" customFormat="1" ht="13.5" customHeight="1">
      <c r="A33" s="41">
        <v>4.1</v>
      </c>
      <c r="B33" s="42" t="s">
        <v>71</v>
      </c>
      <c r="C33" s="43">
        <f t="shared" si="0"/>
        <v>67</v>
      </c>
      <c r="D33" s="43">
        <f t="shared" si="7"/>
        <v>67</v>
      </c>
      <c r="E33" s="54">
        <v>19</v>
      </c>
      <c r="F33" s="45">
        <v>48</v>
      </c>
      <c r="G33" s="45">
        <v>0</v>
      </c>
      <c r="H33" s="45">
        <v>0</v>
      </c>
      <c r="I33" s="43">
        <f t="shared" si="8"/>
        <v>67</v>
      </c>
      <c r="J33" s="43">
        <f t="shared" si="9"/>
        <v>60</v>
      </c>
      <c r="K33" s="43">
        <f t="shared" si="10"/>
        <v>46</v>
      </c>
      <c r="L33" s="45">
        <v>46</v>
      </c>
      <c r="M33" s="45">
        <v>0</v>
      </c>
      <c r="N33" s="45">
        <v>13</v>
      </c>
      <c r="O33" s="45">
        <v>0</v>
      </c>
      <c r="P33" s="45">
        <v>1</v>
      </c>
      <c r="Q33" s="53">
        <f t="shared" si="3"/>
        <v>7</v>
      </c>
      <c r="R33" s="47"/>
      <c r="S33" s="45">
        <v>0</v>
      </c>
      <c r="T33" s="45">
        <f t="shared" si="4"/>
        <v>21</v>
      </c>
      <c r="U33" s="27">
        <f t="shared" si="2"/>
        <v>0.7666666666666667</v>
      </c>
      <c r="V33" s="28">
        <f t="shared" si="5"/>
        <v>67</v>
      </c>
      <c r="W33" s="29">
        <f t="shared" si="6"/>
        <v>67</v>
      </c>
      <c r="X33" s="39">
        <f t="shared" si="11"/>
        <v>0</v>
      </c>
    </row>
    <row r="34" spans="1:24" s="30" customFormat="1" ht="13.5" customHeight="1">
      <c r="A34" s="41">
        <v>4.2</v>
      </c>
      <c r="B34" s="42" t="s">
        <v>72</v>
      </c>
      <c r="C34" s="43">
        <f t="shared" si="0"/>
        <v>52</v>
      </c>
      <c r="D34" s="43">
        <f t="shared" si="7"/>
        <v>52</v>
      </c>
      <c r="E34" s="54">
        <v>11</v>
      </c>
      <c r="F34" s="45">
        <v>41</v>
      </c>
      <c r="G34" s="45">
        <v>0</v>
      </c>
      <c r="H34" s="45">
        <v>0</v>
      </c>
      <c r="I34" s="43">
        <f t="shared" si="8"/>
        <v>52</v>
      </c>
      <c r="J34" s="43">
        <f t="shared" si="9"/>
        <v>44</v>
      </c>
      <c r="K34" s="43">
        <f t="shared" si="10"/>
        <v>39</v>
      </c>
      <c r="L34" s="45">
        <v>39</v>
      </c>
      <c r="M34" s="45">
        <v>0</v>
      </c>
      <c r="N34" s="45">
        <v>5</v>
      </c>
      <c r="O34" s="45">
        <v>0</v>
      </c>
      <c r="P34" s="45">
        <v>0</v>
      </c>
      <c r="Q34" s="53">
        <f t="shared" si="3"/>
        <v>8</v>
      </c>
      <c r="R34" s="47"/>
      <c r="S34" s="45">
        <v>0</v>
      </c>
      <c r="T34" s="45">
        <f t="shared" si="4"/>
        <v>13</v>
      </c>
      <c r="U34" s="27">
        <f t="shared" si="2"/>
        <v>0.8863636363636364</v>
      </c>
      <c r="V34" s="28">
        <f t="shared" si="5"/>
        <v>52</v>
      </c>
      <c r="W34" s="29">
        <f t="shared" si="6"/>
        <v>52</v>
      </c>
      <c r="X34" s="39">
        <f t="shared" si="11"/>
        <v>0</v>
      </c>
    </row>
    <row r="35" spans="1:24" s="30" customFormat="1" ht="13.5" customHeight="1">
      <c r="A35" s="41">
        <v>4.3</v>
      </c>
      <c r="B35" s="42" t="s">
        <v>73</v>
      </c>
      <c r="C35" s="43">
        <f t="shared" si="0"/>
        <v>44</v>
      </c>
      <c r="D35" s="43">
        <f t="shared" si="7"/>
        <v>44</v>
      </c>
      <c r="E35" s="54">
        <v>9</v>
      </c>
      <c r="F35" s="45">
        <v>35</v>
      </c>
      <c r="G35" s="45">
        <v>0</v>
      </c>
      <c r="H35" s="45">
        <v>0</v>
      </c>
      <c r="I35" s="43">
        <f t="shared" si="8"/>
        <v>44</v>
      </c>
      <c r="J35" s="43">
        <f t="shared" si="9"/>
        <v>37</v>
      </c>
      <c r="K35" s="43">
        <f t="shared" si="10"/>
        <v>32</v>
      </c>
      <c r="L35" s="45">
        <v>32</v>
      </c>
      <c r="M35" s="45">
        <v>0</v>
      </c>
      <c r="N35" s="45">
        <v>5</v>
      </c>
      <c r="O35" s="45">
        <v>0</v>
      </c>
      <c r="P35" s="45">
        <v>0</v>
      </c>
      <c r="Q35" s="53">
        <f t="shared" si="3"/>
        <v>7</v>
      </c>
      <c r="R35" s="47"/>
      <c r="S35" s="45">
        <v>0</v>
      </c>
      <c r="T35" s="45">
        <f t="shared" si="4"/>
        <v>12</v>
      </c>
      <c r="U35" s="27">
        <f t="shared" si="2"/>
        <v>0.8648648648648649</v>
      </c>
      <c r="V35" s="28">
        <f t="shared" si="5"/>
        <v>44</v>
      </c>
      <c r="W35" s="29">
        <f t="shared" si="6"/>
        <v>44</v>
      </c>
      <c r="X35" s="39">
        <f t="shared" si="11"/>
        <v>0</v>
      </c>
    </row>
    <row r="36" spans="1:24" s="30" customFormat="1" ht="13.5" customHeight="1">
      <c r="A36" s="41">
        <v>4.4</v>
      </c>
      <c r="B36" s="42" t="s">
        <v>74</v>
      </c>
      <c r="C36" s="43">
        <f t="shared" si="0"/>
        <v>42</v>
      </c>
      <c r="D36" s="43">
        <f t="shared" si="7"/>
        <v>42</v>
      </c>
      <c r="E36" s="54">
        <v>12</v>
      </c>
      <c r="F36" s="45">
        <v>30</v>
      </c>
      <c r="G36" s="45">
        <v>0</v>
      </c>
      <c r="H36" s="45">
        <v>0</v>
      </c>
      <c r="I36" s="43">
        <f t="shared" si="8"/>
        <v>42</v>
      </c>
      <c r="J36" s="43">
        <f t="shared" si="9"/>
        <v>38</v>
      </c>
      <c r="K36" s="43">
        <f t="shared" si="10"/>
        <v>29</v>
      </c>
      <c r="L36" s="45">
        <v>29</v>
      </c>
      <c r="M36" s="45">
        <v>0</v>
      </c>
      <c r="N36" s="45">
        <v>9</v>
      </c>
      <c r="O36" s="45">
        <v>0</v>
      </c>
      <c r="P36" s="45">
        <v>0</v>
      </c>
      <c r="Q36" s="53">
        <f t="shared" si="3"/>
        <v>0</v>
      </c>
      <c r="R36" s="47"/>
      <c r="S36" s="45">
        <v>4</v>
      </c>
      <c r="T36" s="45">
        <f t="shared" si="4"/>
        <v>13</v>
      </c>
      <c r="U36" s="27">
        <f t="shared" si="2"/>
        <v>0.7631578947368421</v>
      </c>
      <c r="V36" s="28">
        <f t="shared" si="5"/>
        <v>42</v>
      </c>
      <c r="W36" s="29">
        <f t="shared" si="6"/>
        <v>42</v>
      </c>
      <c r="X36" s="39">
        <f t="shared" si="11"/>
        <v>0</v>
      </c>
    </row>
    <row r="37" spans="1:24" s="30" customFormat="1" ht="13.5" customHeight="1">
      <c r="A37" s="41">
        <v>4.5</v>
      </c>
      <c r="B37" s="42" t="s">
        <v>75</v>
      </c>
      <c r="C37" s="43">
        <f t="shared" si="0"/>
        <v>22</v>
      </c>
      <c r="D37" s="43">
        <f t="shared" si="7"/>
        <v>22</v>
      </c>
      <c r="E37" s="54">
        <v>0</v>
      </c>
      <c r="F37" s="45">
        <v>22</v>
      </c>
      <c r="G37" s="45">
        <v>1</v>
      </c>
      <c r="H37" s="45">
        <v>0</v>
      </c>
      <c r="I37" s="43">
        <f t="shared" si="8"/>
        <v>21</v>
      </c>
      <c r="J37" s="43">
        <f t="shared" si="9"/>
        <v>21</v>
      </c>
      <c r="K37" s="43">
        <f t="shared" si="10"/>
        <v>20</v>
      </c>
      <c r="L37" s="45">
        <v>20</v>
      </c>
      <c r="M37" s="45">
        <v>0</v>
      </c>
      <c r="N37" s="45">
        <v>1</v>
      </c>
      <c r="O37" s="45">
        <v>0</v>
      </c>
      <c r="P37" s="45">
        <v>0</v>
      </c>
      <c r="Q37" s="53">
        <f t="shared" si="3"/>
        <v>0</v>
      </c>
      <c r="R37" s="47"/>
      <c r="S37" s="45">
        <v>0</v>
      </c>
      <c r="T37" s="45">
        <f t="shared" si="4"/>
        <v>1</v>
      </c>
      <c r="U37" s="27">
        <f t="shared" si="2"/>
        <v>0.9523809523809523</v>
      </c>
      <c r="V37" s="28">
        <f t="shared" si="5"/>
        <v>21</v>
      </c>
      <c r="W37" s="29">
        <f t="shared" si="6"/>
        <v>21</v>
      </c>
      <c r="X37" s="39">
        <f t="shared" si="11"/>
        <v>0</v>
      </c>
    </row>
    <row r="38" spans="1:24" s="40" customFormat="1" ht="21" customHeight="1">
      <c r="A38" s="49">
        <v>5</v>
      </c>
      <c r="B38" s="32" t="s">
        <v>76</v>
      </c>
      <c r="C38" s="33">
        <f t="shared" si="0"/>
        <v>416</v>
      </c>
      <c r="D38" s="33">
        <f t="shared" si="7"/>
        <v>416</v>
      </c>
      <c r="E38" s="35">
        <f>SUM(E39:E42)</f>
        <v>176</v>
      </c>
      <c r="F38" s="50">
        <f>SUM(F39:F42)</f>
        <v>240</v>
      </c>
      <c r="G38" s="50">
        <f>SUM(G39:G42)</f>
        <v>2</v>
      </c>
      <c r="H38" s="50">
        <f>SUM(H39:H42)</f>
        <v>0</v>
      </c>
      <c r="I38" s="33">
        <f t="shared" si="8"/>
        <v>414</v>
      </c>
      <c r="J38" s="33">
        <f t="shared" si="9"/>
        <v>305</v>
      </c>
      <c r="K38" s="33">
        <f t="shared" si="10"/>
        <v>158</v>
      </c>
      <c r="L38" s="50">
        <f>SUM(L39:L42)</f>
        <v>148</v>
      </c>
      <c r="M38" s="50">
        <f>SUM(M39:M42)</f>
        <v>10</v>
      </c>
      <c r="N38" s="50">
        <f>SUM(N39:N42)</f>
        <v>147</v>
      </c>
      <c r="O38" s="50">
        <f>SUM(O39:O42)</f>
        <v>0</v>
      </c>
      <c r="P38" s="35">
        <f>SUM(P39:P42)</f>
        <v>0</v>
      </c>
      <c r="Q38" s="36">
        <f t="shared" si="3"/>
        <v>109</v>
      </c>
      <c r="R38" s="51"/>
      <c r="S38" s="35">
        <f>SUM(S39:S42)</f>
        <v>0</v>
      </c>
      <c r="T38" s="36">
        <f t="shared" si="4"/>
        <v>256</v>
      </c>
      <c r="U38" s="37">
        <f t="shared" si="2"/>
        <v>0.5180327868852459</v>
      </c>
      <c r="V38" s="38">
        <f t="shared" si="5"/>
        <v>414</v>
      </c>
      <c r="W38" s="39">
        <f t="shared" si="6"/>
        <v>414</v>
      </c>
      <c r="X38" s="39">
        <f t="shared" si="11"/>
        <v>0</v>
      </c>
    </row>
    <row r="39" spans="1:24" s="30" customFormat="1" ht="18.75" customHeight="1">
      <c r="A39" s="41">
        <v>5.1</v>
      </c>
      <c r="B39" s="42" t="s">
        <v>77</v>
      </c>
      <c r="C39" s="43">
        <f t="shared" si="0"/>
        <v>123</v>
      </c>
      <c r="D39" s="43">
        <f t="shared" si="7"/>
        <v>123</v>
      </c>
      <c r="E39" s="55">
        <v>56</v>
      </c>
      <c r="F39" s="45">
        <v>67</v>
      </c>
      <c r="G39" s="45">
        <v>1</v>
      </c>
      <c r="H39" s="45">
        <v>0</v>
      </c>
      <c r="I39" s="43">
        <f t="shared" si="8"/>
        <v>122</v>
      </c>
      <c r="J39" s="43">
        <f t="shared" si="9"/>
        <v>85</v>
      </c>
      <c r="K39" s="43">
        <f t="shared" si="10"/>
        <v>48</v>
      </c>
      <c r="L39" s="45">
        <v>42</v>
      </c>
      <c r="M39" s="45">
        <v>6</v>
      </c>
      <c r="N39" s="45">
        <v>37</v>
      </c>
      <c r="O39" s="45">
        <v>0</v>
      </c>
      <c r="P39" s="45">
        <v>0</v>
      </c>
      <c r="Q39" s="53">
        <f t="shared" si="3"/>
        <v>37</v>
      </c>
      <c r="R39" s="47"/>
      <c r="S39" s="45">
        <v>0</v>
      </c>
      <c r="T39" s="50">
        <f t="shared" si="4"/>
        <v>74</v>
      </c>
      <c r="U39" s="27">
        <f t="shared" si="2"/>
        <v>0.5647058823529412</v>
      </c>
      <c r="V39" s="28">
        <f t="shared" si="5"/>
        <v>122</v>
      </c>
      <c r="W39" s="29">
        <f t="shared" si="6"/>
        <v>122</v>
      </c>
      <c r="X39" s="39">
        <f t="shared" si="11"/>
        <v>0</v>
      </c>
    </row>
    <row r="40" spans="1:24" s="30" customFormat="1" ht="16.5" customHeight="1">
      <c r="A40" s="41">
        <v>5.2</v>
      </c>
      <c r="B40" s="42" t="s">
        <v>78</v>
      </c>
      <c r="C40" s="43">
        <f>D40</f>
        <v>22</v>
      </c>
      <c r="D40" s="43">
        <f>F40+E40</f>
        <v>22</v>
      </c>
      <c r="E40" s="55">
        <v>2</v>
      </c>
      <c r="F40" s="45">
        <v>20</v>
      </c>
      <c r="G40" s="45">
        <v>0</v>
      </c>
      <c r="H40" s="45">
        <v>0</v>
      </c>
      <c r="I40" s="43">
        <f>D40-G40-H40</f>
        <v>22</v>
      </c>
      <c r="J40" s="43">
        <f>L40+M40+N40+P40</f>
        <v>22</v>
      </c>
      <c r="K40" s="43">
        <f>M40+L40</f>
        <v>18</v>
      </c>
      <c r="L40" s="45">
        <v>17</v>
      </c>
      <c r="M40" s="45">
        <v>1</v>
      </c>
      <c r="N40" s="45">
        <v>4</v>
      </c>
      <c r="O40" s="45">
        <v>0</v>
      </c>
      <c r="P40" s="45">
        <v>0</v>
      </c>
      <c r="Q40" s="53">
        <f t="shared" si="3"/>
        <v>0</v>
      </c>
      <c r="R40" s="47"/>
      <c r="S40" s="45">
        <v>0</v>
      </c>
      <c r="T40" s="45">
        <f>N40+O40+P40+Q40+R40+S40</f>
        <v>4</v>
      </c>
      <c r="U40" s="27">
        <f>IF(J40&lt;&gt;0,K40/J40,"")</f>
        <v>0.8181818181818182</v>
      </c>
      <c r="V40" s="28">
        <f>IF(I40=C40-G40-H40,I40,"KT lai")</f>
        <v>22</v>
      </c>
      <c r="W40" s="29">
        <f>J40+Q40+S40</f>
        <v>22</v>
      </c>
      <c r="X40" s="39">
        <f t="shared" si="11"/>
        <v>0</v>
      </c>
    </row>
    <row r="41" spans="1:24" s="30" customFormat="1" ht="18.75" customHeight="1">
      <c r="A41" s="41">
        <v>5.3</v>
      </c>
      <c r="B41" s="42" t="s">
        <v>79</v>
      </c>
      <c r="C41" s="43">
        <f>D41</f>
        <v>133</v>
      </c>
      <c r="D41" s="43">
        <f t="shared" si="7"/>
        <v>133</v>
      </c>
      <c r="E41" s="55">
        <v>58</v>
      </c>
      <c r="F41" s="45">
        <v>75</v>
      </c>
      <c r="G41" s="45">
        <v>0</v>
      </c>
      <c r="H41" s="45">
        <v>0</v>
      </c>
      <c r="I41" s="43"/>
      <c r="J41" s="43"/>
      <c r="K41" s="43"/>
      <c r="L41" s="45">
        <v>46</v>
      </c>
      <c r="M41" s="45">
        <v>1</v>
      </c>
      <c r="N41" s="45">
        <v>53</v>
      </c>
      <c r="O41" s="45">
        <v>0</v>
      </c>
      <c r="P41" s="45">
        <v>0</v>
      </c>
      <c r="Q41" s="53">
        <f t="shared" si="3"/>
        <v>0</v>
      </c>
      <c r="R41" s="47"/>
      <c r="S41" s="45">
        <v>0</v>
      </c>
      <c r="T41" s="45">
        <f>N41+O41+P41+Q41+R41+S41</f>
        <v>53</v>
      </c>
      <c r="U41" s="27">
        <f>IF(J41&lt;&gt;0,K41/J41,"")</f>
      </c>
      <c r="V41" s="28"/>
      <c r="W41" s="29"/>
      <c r="X41" s="39">
        <f t="shared" si="11"/>
        <v>0</v>
      </c>
    </row>
    <row r="42" spans="1:24" s="30" customFormat="1" ht="16.5" customHeight="1">
      <c r="A42" s="41">
        <v>5.4</v>
      </c>
      <c r="B42" s="42" t="s">
        <v>80</v>
      </c>
      <c r="C42" s="43">
        <f>D42</f>
        <v>138</v>
      </c>
      <c r="D42" s="43">
        <f t="shared" si="7"/>
        <v>138</v>
      </c>
      <c r="E42" s="55">
        <v>60</v>
      </c>
      <c r="F42" s="45">
        <v>78</v>
      </c>
      <c r="G42" s="45">
        <v>1</v>
      </c>
      <c r="H42" s="45">
        <v>0</v>
      </c>
      <c r="I42" s="43">
        <f t="shared" si="8"/>
        <v>137</v>
      </c>
      <c r="J42" s="43">
        <f t="shared" si="9"/>
        <v>98</v>
      </c>
      <c r="K42" s="43">
        <f t="shared" si="10"/>
        <v>45</v>
      </c>
      <c r="L42" s="45">
        <v>43</v>
      </c>
      <c r="M42" s="45">
        <v>2</v>
      </c>
      <c r="N42" s="45">
        <v>53</v>
      </c>
      <c r="O42" s="45">
        <v>0</v>
      </c>
      <c r="P42" s="45">
        <v>0</v>
      </c>
      <c r="Q42" s="53">
        <f t="shared" si="3"/>
        <v>39</v>
      </c>
      <c r="R42" s="47"/>
      <c r="S42" s="45">
        <v>0</v>
      </c>
      <c r="T42" s="45">
        <f>N42+O42+P42+Q42+R42+S42</f>
        <v>92</v>
      </c>
      <c r="U42" s="27">
        <f>IF(J42&lt;&gt;0,K42/J42,"")</f>
        <v>0.45918367346938777</v>
      </c>
      <c r="V42" s="28">
        <f t="shared" si="5"/>
        <v>137</v>
      </c>
      <c r="W42" s="29">
        <f t="shared" si="6"/>
        <v>137</v>
      </c>
      <c r="X42" s="39">
        <f t="shared" si="11"/>
        <v>0</v>
      </c>
    </row>
    <row r="43" spans="1:24" s="40" customFormat="1" ht="24" customHeight="1">
      <c r="A43" s="49">
        <v>6</v>
      </c>
      <c r="B43" s="32" t="s">
        <v>81</v>
      </c>
      <c r="C43" s="33">
        <f t="shared" si="0"/>
        <v>568</v>
      </c>
      <c r="D43" s="33">
        <f t="shared" si="7"/>
        <v>568</v>
      </c>
      <c r="E43" s="35">
        <f>SUM(E44:E47)</f>
        <v>216</v>
      </c>
      <c r="F43" s="50">
        <f>SUM(F44:F47)</f>
        <v>352</v>
      </c>
      <c r="G43" s="50">
        <f>SUM(G44:G47)</f>
        <v>0</v>
      </c>
      <c r="H43" s="50">
        <f>SUM(H44:H47)</f>
        <v>0</v>
      </c>
      <c r="I43" s="33">
        <f t="shared" si="8"/>
        <v>568</v>
      </c>
      <c r="J43" s="33">
        <f t="shared" si="9"/>
        <v>476</v>
      </c>
      <c r="K43" s="33">
        <f t="shared" si="10"/>
        <v>303</v>
      </c>
      <c r="L43" s="50">
        <f>SUM(L44:L47)</f>
        <v>291</v>
      </c>
      <c r="M43" s="50">
        <f>SUM(M44:M47)</f>
        <v>12</v>
      </c>
      <c r="N43" s="50">
        <f>SUM(N44:N47)</f>
        <v>173</v>
      </c>
      <c r="O43" s="50">
        <f>SUM(O44:O47)</f>
        <v>0</v>
      </c>
      <c r="P43" s="35">
        <f>SUM(P44:P47)</f>
        <v>0</v>
      </c>
      <c r="Q43" s="36">
        <f t="shared" si="3"/>
        <v>92</v>
      </c>
      <c r="R43" s="51"/>
      <c r="S43" s="35">
        <f>SUM(S44:S47)</f>
        <v>0</v>
      </c>
      <c r="T43" s="36">
        <f t="shared" si="4"/>
        <v>265</v>
      </c>
      <c r="U43" s="37">
        <f t="shared" si="2"/>
        <v>0.6365546218487395</v>
      </c>
      <c r="V43" s="38">
        <f t="shared" si="5"/>
        <v>568</v>
      </c>
      <c r="W43" s="39">
        <f t="shared" si="6"/>
        <v>568</v>
      </c>
      <c r="X43" s="39">
        <f t="shared" si="11"/>
        <v>0</v>
      </c>
    </row>
    <row r="44" spans="1:24" s="30" customFormat="1" ht="13.5" customHeight="1">
      <c r="A44" s="41">
        <v>6.1</v>
      </c>
      <c r="B44" s="42" t="s">
        <v>82</v>
      </c>
      <c r="C44" s="43">
        <f t="shared" si="0"/>
        <v>161</v>
      </c>
      <c r="D44" s="43">
        <f t="shared" si="7"/>
        <v>161</v>
      </c>
      <c r="E44" s="56">
        <v>50</v>
      </c>
      <c r="F44" s="45">
        <v>111</v>
      </c>
      <c r="G44" s="45">
        <v>0</v>
      </c>
      <c r="H44" s="45">
        <v>0</v>
      </c>
      <c r="I44" s="43">
        <f t="shared" si="8"/>
        <v>161</v>
      </c>
      <c r="J44" s="43">
        <f t="shared" si="9"/>
        <v>146</v>
      </c>
      <c r="K44" s="43">
        <f t="shared" si="10"/>
        <v>86</v>
      </c>
      <c r="L44" s="45">
        <v>83</v>
      </c>
      <c r="M44" s="45">
        <v>3</v>
      </c>
      <c r="N44" s="45">
        <v>60</v>
      </c>
      <c r="O44" s="45">
        <v>0</v>
      </c>
      <c r="P44" s="45">
        <v>0</v>
      </c>
      <c r="Q44" s="53">
        <f t="shared" si="3"/>
        <v>15</v>
      </c>
      <c r="R44" s="47"/>
      <c r="S44" s="45">
        <v>0</v>
      </c>
      <c r="T44" s="45">
        <f t="shared" si="4"/>
        <v>75</v>
      </c>
      <c r="U44" s="27">
        <f t="shared" si="2"/>
        <v>0.589041095890411</v>
      </c>
      <c r="V44" s="28">
        <f t="shared" si="5"/>
        <v>161</v>
      </c>
      <c r="W44" s="29">
        <f t="shared" si="6"/>
        <v>161</v>
      </c>
      <c r="X44" s="39">
        <f t="shared" si="11"/>
        <v>0</v>
      </c>
    </row>
    <row r="45" spans="1:24" s="30" customFormat="1" ht="13.5" customHeight="1">
      <c r="A45" s="41">
        <v>6.3</v>
      </c>
      <c r="B45" s="42" t="s">
        <v>83</v>
      </c>
      <c r="C45" s="43">
        <f t="shared" si="0"/>
        <v>160</v>
      </c>
      <c r="D45" s="43">
        <f t="shared" si="7"/>
        <v>160</v>
      </c>
      <c r="E45" s="56">
        <v>58</v>
      </c>
      <c r="F45" s="45">
        <v>102</v>
      </c>
      <c r="G45" s="45">
        <v>0</v>
      </c>
      <c r="H45" s="45">
        <v>0</v>
      </c>
      <c r="I45" s="43">
        <f t="shared" si="8"/>
        <v>160</v>
      </c>
      <c r="J45" s="43">
        <f t="shared" si="9"/>
        <v>147</v>
      </c>
      <c r="K45" s="43">
        <f t="shared" si="10"/>
        <v>86</v>
      </c>
      <c r="L45" s="45">
        <v>84</v>
      </c>
      <c r="M45" s="45">
        <v>2</v>
      </c>
      <c r="N45" s="45">
        <v>61</v>
      </c>
      <c r="O45" s="45">
        <v>0</v>
      </c>
      <c r="P45" s="45">
        <v>0</v>
      </c>
      <c r="Q45" s="53">
        <f t="shared" si="3"/>
        <v>13</v>
      </c>
      <c r="R45" s="47"/>
      <c r="S45" s="45">
        <v>0</v>
      </c>
      <c r="T45" s="45">
        <f t="shared" si="4"/>
        <v>74</v>
      </c>
      <c r="U45" s="27">
        <f t="shared" si="2"/>
        <v>0.5850340136054422</v>
      </c>
      <c r="V45" s="28">
        <f t="shared" si="5"/>
        <v>160</v>
      </c>
      <c r="W45" s="29">
        <f t="shared" si="6"/>
        <v>160</v>
      </c>
      <c r="X45" s="39">
        <f t="shared" si="11"/>
        <v>0</v>
      </c>
    </row>
    <row r="46" spans="1:24" s="30" customFormat="1" ht="13.5" customHeight="1">
      <c r="A46" s="41">
        <v>6.4</v>
      </c>
      <c r="B46" s="42" t="s">
        <v>84</v>
      </c>
      <c r="C46" s="43">
        <f t="shared" si="0"/>
        <v>192</v>
      </c>
      <c r="D46" s="43">
        <f t="shared" si="7"/>
        <v>192</v>
      </c>
      <c r="E46" s="56">
        <v>68</v>
      </c>
      <c r="F46" s="45">
        <v>124</v>
      </c>
      <c r="G46" s="45">
        <v>0</v>
      </c>
      <c r="H46" s="45">
        <v>0</v>
      </c>
      <c r="I46" s="43">
        <f t="shared" si="8"/>
        <v>192</v>
      </c>
      <c r="J46" s="43">
        <f t="shared" si="9"/>
        <v>166</v>
      </c>
      <c r="K46" s="43">
        <f t="shared" si="10"/>
        <v>117</v>
      </c>
      <c r="L46" s="45">
        <v>110</v>
      </c>
      <c r="M46" s="45">
        <v>7</v>
      </c>
      <c r="N46" s="45">
        <v>49</v>
      </c>
      <c r="O46" s="45">
        <v>0</v>
      </c>
      <c r="P46" s="45">
        <v>0</v>
      </c>
      <c r="Q46" s="53">
        <f t="shared" si="3"/>
        <v>26</v>
      </c>
      <c r="R46" s="47"/>
      <c r="S46" s="45">
        <v>0</v>
      </c>
      <c r="T46" s="45">
        <f t="shared" si="4"/>
        <v>75</v>
      </c>
      <c r="U46" s="27">
        <f t="shared" si="2"/>
        <v>0.7048192771084337</v>
      </c>
      <c r="V46" s="28">
        <f t="shared" si="5"/>
        <v>192</v>
      </c>
      <c r="W46" s="29">
        <f t="shared" si="6"/>
        <v>192</v>
      </c>
      <c r="X46" s="39">
        <f t="shared" si="11"/>
        <v>0</v>
      </c>
    </row>
    <row r="47" spans="1:24" s="30" customFormat="1" ht="13.5" customHeight="1">
      <c r="A47" s="41">
        <v>6.5</v>
      </c>
      <c r="B47" s="42" t="s">
        <v>85</v>
      </c>
      <c r="C47" s="43">
        <f t="shared" si="0"/>
        <v>55</v>
      </c>
      <c r="D47" s="43">
        <f t="shared" si="7"/>
        <v>55</v>
      </c>
      <c r="E47" s="57">
        <v>40</v>
      </c>
      <c r="F47" s="45">
        <v>15</v>
      </c>
      <c r="G47" s="45">
        <v>0</v>
      </c>
      <c r="H47" s="45">
        <v>0</v>
      </c>
      <c r="I47" s="43">
        <f t="shared" si="8"/>
        <v>55</v>
      </c>
      <c r="J47" s="43">
        <f t="shared" si="9"/>
        <v>17</v>
      </c>
      <c r="K47" s="43">
        <f t="shared" si="10"/>
        <v>14</v>
      </c>
      <c r="L47" s="45">
        <v>14</v>
      </c>
      <c r="M47" s="45">
        <v>0</v>
      </c>
      <c r="N47" s="45">
        <v>3</v>
      </c>
      <c r="O47" s="45">
        <v>0</v>
      </c>
      <c r="P47" s="45">
        <v>0</v>
      </c>
      <c r="Q47" s="53">
        <f t="shared" si="3"/>
        <v>38</v>
      </c>
      <c r="R47" s="47"/>
      <c r="S47" s="45">
        <v>0</v>
      </c>
      <c r="T47" s="45">
        <f t="shared" si="4"/>
        <v>41</v>
      </c>
      <c r="U47" s="27">
        <f t="shared" si="2"/>
        <v>0.8235294117647058</v>
      </c>
      <c r="V47" s="28">
        <f t="shared" si="5"/>
        <v>55</v>
      </c>
      <c r="W47" s="29">
        <f t="shared" si="6"/>
        <v>55</v>
      </c>
      <c r="X47" s="39">
        <f t="shared" si="11"/>
        <v>0</v>
      </c>
    </row>
    <row r="48" spans="1:24" s="62" customFormat="1" ht="18" customHeight="1">
      <c r="A48" s="147"/>
      <c r="B48" s="148"/>
      <c r="C48" s="148"/>
      <c r="D48" s="148"/>
      <c r="E48" s="148"/>
      <c r="F48" s="58"/>
      <c r="G48" s="58"/>
      <c r="H48" s="58"/>
      <c r="I48" s="59"/>
      <c r="J48" s="59"/>
      <c r="K48" s="59"/>
      <c r="L48" s="60"/>
      <c r="M48" s="60"/>
      <c r="N48" s="149" t="s">
        <v>118</v>
      </c>
      <c r="O48" s="150"/>
      <c r="P48" s="150"/>
      <c r="Q48" s="150"/>
      <c r="R48" s="150"/>
      <c r="S48" s="150"/>
      <c r="T48" s="150"/>
      <c r="U48" s="150"/>
      <c r="V48" s="61"/>
      <c r="W48" s="61"/>
      <c r="X48" s="61"/>
    </row>
    <row r="49" spans="1:21" ht="15.75" customHeight="1">
      <c r="A49" s="151" t="s">
        <v>86</v>
      </c>
      <c r="B49" s="152"/>
      <c r="C49" s="152"/>
      <c r="D49" s="152"/>
      <c r="E49" s="152"/>
      <c r="F49" s="63"/>
      <c r="G49" s="63"/>
      <c r="H49" s="63"/>
      <c r="I49" s="64"/>
      <c r="J49" s="64"/>
      <c r="K49" s="64"/>
      <c r="L49" s="65"/>
      <c r="M49" s="65"/>
      <c r="N49" s="153" t="str">
        <f>'[3]TT'!C5</f>
        <v>PHÓ CỤC TRƯỞNG</v>
      </c>
      <c r="O49" s="153"/>
      <c r="P49" s="153"/>
      <c r="Q49" s="153"/>
      <c r="R49" s="153"/>
      <c r="S49" s="153"/>
      <c r="T49" s="153"/>
      <c r="U49" s="153"/>
    </row>
    <row r="50" spans="1:21" ht="57.75" customHeight="1">
      <c r="A50" s="66"/>
      <c r="B50" s="63"/>
      <c r="C50" s="66"/>
      <c r="D50" s="66"/>
      <c r="E50" s="67"/>
      <c r="F50" s="68"/>
      <c r="G50" s="68"/>
      <c r="H50" s="68"/>
      <c r="I50" s="64"/>
      <c r="J50" s="64"/>
      <c r="K50" s="64"/>
      <c r="L50" s="65"/>
      <c r="M50" s="65"/>
      <c r="N50" s="65"/>
      <c r="O50" s="65"/>
      <c r="P50" s="69"/>
      <c r="Q50" s="70"/>
      <c r="R50" s="68"/>
      <c r="S50" s="64"/>
      <c r="T50" s="71"/>
      <c r="U50" s="71"/>
    </row>
    <row r="51" spans="1:21" ht="15.75" customHeight="1">
      <c r="A51" s="142" t="str">
        <f>'[1]TT'!C6</f>
        <v>TRẦN ĐỨC TOẢN</v>
      </c>
      <c r="B51" s="142"/>
      <c r="C51" s="142"/>
      <c r="D51" s="142"/>
      <c r="E51" s="142"/>
      <c r="F51" s="72" t="s">
        <v>45</v>
      </c>
      <c r="G51" s="72"/>
      <c r="H51" s="72"/>
      <c r="I51" s="72"/>
      <c r="J51" s="72"/>
      <c r="K51" s="72"/>
      <c r="L51" s="73"/>
      <c r="M51" s="73"/>
      <c r="N51" s="143" t="str">
        <f>'[3]TT'!C3</f>
        <v>Vũ Ngọc Phương</v>
      </c>
      <c r="O51" s="143"/>
      <c r="P51" s="143"/>
      <c r="Q51" s="143"/>
      <c r="R51" s="143"/>
      <c r="S51" s="143"/>
      <c r="T51" s="143"/>
      <c r="U51" s="143"/>
    </row>
    <row r="52" spans="1:21" ht="15.75">
      <c r="A52" s="72"/>
      <c r="B52" s="72"/>
      <c r="C52" s="72"/>
      <c r="D52" s="72"/>
      <c r="E52" s="74"/>
      <c r="F52" s="72"/>
      <c r="G52" s="72"/>
      <c r="H52" s="72"/>
      <c r="I52" s="72"/>
      <c r="J52" s="72"/>
      <c r="K52" s="72"/>
      <c r="L52" s="73"/>
      <c r="M52" s="73"/>
      <c r="N52" s="75"/>
      <c r="O52" s="75"/>
      <c r="P52" s="75"/>
      <c r="Q52" s="76"/>
      <c r="R52" s="77"/>
      <c r="S52" s="77"/>
      <c r="T52" s="77"/>
      <c r="U52" s="77"/>
    </row>
  </sheetData>
  <sheetProtection formatCells="0" formatColumns="0" formatRows="0" insertRows="0" deleteRows="0"/>
  <mergeCells count="35">
    <mergeCell ref="A1:D1"/>
    <mergeCell ref="E1:O1"/>
    <mergeCell ref="P1:U1"/>
    <mergeCell ref="P2:U2"/>
    <mergeCell ref="A3:A7"/>
    <mergeCell ref="B3:B7"/>
    <mergeCell ref="C3:C7"/>
    <mergeCell ref="D3:D7"/>
    <mergeCell ref="E3:F3"/>
    <mergeCell ref="G3:G7"/>
    <mergeCell ref="H3:H7"/>
    <mergeCell ref="I3:I7"/>
    <mergeCell ref="J3:S3"/>
    <mergeCell ref="T3:T7"/>
    <mergeCell ref="U3:U7"/>
    <mergeCell ref="E4:E7"/>
    <mergeCell ref="F4:F7"/>
    <mergeCell ref="J4:J7"/>
    <mergeCell ref="K4:P4"/>
    <mergeCell ref="Q4:Q7"/>
    <mergeCell ref="R4:R7"/>
    <mergeCell ref="S4:S7"/>
    <mergeCell ref="K5:K7"/>
    <mergeCell ref="L5:M6"/>
    <mergeCell ref="N5:N7"/>
    <mergeCell ref="O5:O7"/>
    <mergeCell ref="P5:P7"/>
    <mergeCell ref="A51:E51"/>
    <mergeCell ref="N51:U51"/>
    <mergeCell ref="A8:B8"/>
    <mergeCell ref="A9:B9"/>
    <mergeCell ref="A48:E48"/>
    <mergeCell ref="N48:U48"/>
    <mergeCell ref="A49:E49"/>
    <mergeCell ref="N49:U49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51"/>
  <sheetViews>
    <sheetView tabSelected="1" view="pageBreakPreview" zoomScale="85" zoomScaleSheetLayoutView="85" zoomScalePageLayoutView="0" workbookViewId="0" topLeftCell="C4">
      <selection activeCell="K16" sqref="K16"/>
    </sheetView>
  </sheetViews>
  <sheetFormatPr defaultColWidth="9.00390625" defaultRowHeight="15.75"/>
  <cols>
    <col min="1" max="1" width="3.50390625" style="2" customWidth="1"/>
    <col min="2" max="2" width="21.00390625" style="2" customWidth="1"/>
    <col min="3" max="3" width="11.75390625" style="2" customWidth="1"/>
    <col min="4" max="4" width="11.50390625" style="2" customWidth="1"/>
    <col min="5" max="5" width="10.50390625" style="2" customWidth="1"/>
    <col min="6" max="6" width="8.875" style="2" customWidth="1"/>
    <col min="7" max="7" width="5.875" style="2" customWidth="1"/>
    <col min="8" max="8" width="12.125" style="2" customWidth="1"/>
    <col min="9" max="9" width="10.875" style="2" customWidth="1"/>
    <col min="10" max="10" width="9.625" style="2" customWidth="1"/>
    <col min="11" max="11" width="10.125" style="2" customWidth="1"/>
    <col min="12" max="12" width="8.875" style="2" customWidth="1"/>
    <col min="13" max="13" width="6.75390625" style="83" customWidth="1"/>
    <col min="14" max="14" width="10.875" style="83" customWidth="1"/>
    <col min="15" max="15" width="7.25390625" style="83" customWidth="1"/>
    <col min="16" max="16" width="8.50390625" style="83" customWidth="1"/>
    <col min="17" max="17" width="11.25390625" style="83" customWidth="1"/>
    <col min="18" max="18" width="6.00390625" style="83" customWidth="1"/>
    <col min="19" max="19" width="8.875" style="83" customWidth="1"/>
    <col min="20" max="20" width="10.50390625" style="83" customWidth="1"/>
    <col min="21" max="21" width="7.25390625" style="83" customWidth="1"/>
    <col min="22" max="22" width="15.375" style="79" customWidth="1"/>
    <col min="23" max="23" width="15.25390625" style="1" customWidth="1"/>
    <col min="24" max="24" width="13.00390625" style="1" customWidth="1"/>
    <col min="25" max="16384" width="9.00390625" style="2" customWidth="1"/>
  </cols>
  <sheetData>
    <row r="1" spans="1:21" ht="69" customHeight="1">
      <c r="A1" s="188" t="s">
        <v>87</v>
      </c>
      <c r="B1" s="188"/>
      <c r="C1" s="188"/>
      <c r="D1" s="188"/>
      <c r="E1" s="189" t="s">
        <v>116</v>
      </c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 t="str">
        <f>'[1]TT'!C2</f>
        <v>Đơn vị  báo cáo: 
Đơn vị nhận báo cáo: </v>
      </c>
      <c r="Q1" s="190"/>
      <c r="R1" s="190"/>
      <c r="S1" s="190"/>
      <c r="T1" s="190"/>
      <c r="U1" s="190"/>
    </row>
    <row r="2" spans="1:21" ht="17.25" customHeight="1">
      <c r="A2" s="3"/>
      <c r="B2" s="7"/>
      <c r="C2" s="84"/>
      <c r="D2" s="84"/>
      <c r="E2" s="84"/>
      <c r="F2" s="7"/>
      <c r="G2" s="7"/>
      <c r="H2" s="85"/>
      <c r="I2" s="86">
        <f>COUNTBLANK(D10:U47)</f>
        <v>3</v>
      </c>
      <c r="J2" s="87">
        <f>COUNTA(D10:U47)</f>
        <v>681</v>
      </c>
      <c r="K2" s="87">
        <f>I2+J2</f>
        <v>684</v>
      </c>
      <c r="L2" s="87"/>
      <c r="M2" s="88"/>
      <c r="N2" s="82"/>
      <c r="O2" s="82"/>
      <c r="P2" s="172" t="s">
        <v>88</v>
      </c>
      <c r="Q2" s="172"/>
      <c r="R2" s="172"/>
      <c r="S2" s="172"/>
      <c r="T2" s="172"/>
      <c r="U2" s="172"/>
    </row>
    <row r="3" spans="1:24" s="13" customFormat="1" ht="15.75" customHeight="1">
      <c r="A3" s="191" t="s">
        <v>2</v>
      </c>
      <c r="B3" s="191" t="s">
        <v>3</v>
      </c>
      <c r="C3" s="194" t="s">
        <v>5</v>
      </c>
      <c r="D3" s="179" t="s">
        <v>6</v>
      </c>
      <c r="E3" s="179"/>
      <c r="F3" s="178" t="s">
        <v>7</v>
      </c>
      <c r="G3" s="187" t="s">
        <v>89</v>
      </c>
      <c r="H3" s="178" t="s">
        <v>9</v>
      </c>
      <c r="I3" s="180" t="s">
        <v>6</v>
      </c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2" t="s">
        <v>10</v>
      </c>
      <c r="U3" s="185" t="s">
        <v>11</v>
      </c>
      <c r="V3" s="89"/>
      <c r="W3" s="12"/>
      <c r="X3" s="12"/>
    </row>
    <row r="4" spans="1:24" s="15" customFormat="1" ht="15.75" customHeight="1">
      <c r="A4" s="192"/>
      <c r="B4" s="192"/>
      <c r="C4" s="194"/>
      <c r="D4" s="179" t="s">
        <v>12</v>
      </c>
      <c r="E4" s="179" t="s">
        <v>13</v>
      </c>
      <c r="F4" s="178"/>
      <c r="G4" s="187"/>
      <c r="H4" s="178"/>
      <c r="I4" s="178" t="s">
        <v>14</v>
      </c>
      <c r="J4" s="179" t="s">
        <v>6</v>
      </c>
      <c r="K4" s="179"/>
      <c r="L4" s="179"/>
      <c r="M4" s="179"/>
      <c r="N4" s="179"/>
      <c r="O4" s="179"/>
      <c r="P4" s="179"/>
      <c r="Q4" s="187" t="s">
        <v>15</v>
      </c>
      <c r="R4" s="178" t="s">
        <v>16</v>
      </c>
      <c r="S4" s="177" t="s">
        <v>17</v>
      </c>
      <c r="T4" s="183"/>
      <c r="U4" s="186"/>
      <c r="V4" s="90"/>
      <c r="W4" s="14"/>
      <c r="X4" s="14"/>
    </row>
    <row r="5" spans="1:24" s="13" customFormat="1" ht="15.75" customHeight="1">
      <c r="A5" s="192"/>
      <c r="B5" s="192"/>
      <c r="C5" s="194"/>
      <c r="D5" s="179"/>
      <c r="E5" s="179"/>
      <c r="F5" s="178"/>
      <c r="G5" s="187"/>
      <c r="H5" s="178"/>
      <c r="I5" s="178"/>
      <c r="J5" s="178" t="s">
        <v>18</v>
      </c>
      <c r="K5" s="179" t="s">
        <v>6</v>
      </c>
      <c r="L5" s="179"/>
      <c r="M5" s="179"/>
      <c r="N5" s="178" t="s">
        <v>19</v>
      </c>
      <c r="O5" s="178" t="s">
        <v>20</v>
      </c>
      <c r="P5" s="178" t="s">
        <v>21</v>
      </c>
      <c r="Q5" s="187"/>
      <c r="R5" s="178"/>
      <c r="S5" s="177"/>
      <c r="T5" s="183"/>
      <c r="U5" s="186"/>
      <c r="V5" s="89"/>
      <c r="W5" s="12"/>
      <c r="X5" s="12"/>
    </row>
    <row r="6" spans="1:24" s="13" customFormat="1" ht="15.75" customHeight="1">
      <c r="A6" s="192"/>
      <c r="B6" s="192"/>
      <c r="C6" s="194"/>
      <c r="D6" s="179"/>
      <c r="E6" s="179"/>
      <c r="F6" s="178"/>
      <c r="G6" s="187"/>
      <c r="H6" s="178"/>
      <c r="I6" s="178"/>
      <c r="J6" s="178"/>
      <c r="K6" s="179"/>
      <c r="L6" s="179"/>
      <c r="M6" s="179"/>
      <c r="N6" s="178"/>
      <c r="O6" s="178"/>
      <c r="P6" s="178"/>
      <c r="Q6" s="187"/>
      <c r="R6" s="178"/>
      <c r="S6" s="177"/>
      <c r="T6" s="183"/>
      <c r="U6" s="186"/>
      <c r="V6" s="89"/>
      <c r="W6" s="12"/>
      <c r="X6" s="12"/>
    </row>
    <row r="7" spans="1:24" s="13" customFormat="1" ht="69" customHeight="1">
      <c r="A7" s="193"/>
      <c r="B7" s="193"/>
      <c r="C7" s="194"/>
      <c r="D7" s="179"/>
      <c r="E7" s="179"/>
      <c r="F7" s="178"/>
      <c r="G7" s="187"/>
      <c r="H7" s="178"/>
      <c r="I7" s="178"/>
      <c r="J7" s="178"/>
      <c r="K7" s="91" t="s">
        <v>22</v>
      </c>
      <c r="L7" s="91" t="s">
        <v>23</v>
      </c>
      <c r="M7" s="91" t="s">
        <v>90</v>
      </c>
      <c r="N7" s="178"/>
      <c r="O7" s="178"/>
      <c r="P7" s="178"/>
      <c r="Q7" s="187"/>
      <c r="R7" s="178"/>
      <c r="S7" s="177"/>
      <c r="T7" s="184"/>
      <c r="U7" s="186"/>
      <c r="V7" s="89"/>
      <c r="W7" s="17"/>
      <c r="X7" s="12"/>
    </row>
    <row r="8" spans="1:21" ht="14.25" customHeight="1">
      <c r="A8" s="144" t="s">
        <v>24</v>
      </c>
      <c r="B8" s="145"/>
      <c r="C8" s="18" t="s">
        <v>25</v>
      </c>
      <c r="D8" s="18" t="s">
        <v>26</v>
      </c>
      <c r="E8" s="18" t="s">
        <v>27</v>
      </c>
      <c r="F8" s="18" t="s">
        <v>28</v>
      </c>
      <c r="G8" s="18" t="s">
        <v>29</v>
      </c>
      <c r="H8" s="18" t="s">
        <v>30</v>
      </c>
      <c r="I8" s="18" t="s">
        <v>31</v>
      </c>
      <c r="J8" s="18" t="s">
        <v>32</v>
      </c>
      <c r="K8" s="18" t="s">
        <v>33</v>
      </c>
      <c r="L8" s="18" t="s">
        <v>34</v>
      </c>
      <c r="M8" s="18" t="s">
        <v>35</v>
      </c>
      <c r="N8" s="18" t="s">
        <v>36</v>
      </c>
      <c r="O8" s="18" t="s">
        <v>37</v>
      </c>
      <c r="P8" s="18" t="s">
        <v>38</v>
      </c>
      <c r="Q8" s="18" t="s">
        <v>39</v>
      </c>
      <c r="R8" s="18" t="s">
        <v>40</v>
      </c>
      <c r="S8" s="18" t="s">
        <v>41</v>
      </c>
      <c r="T8" s="18" t="s">
        <v>42</v>
      </c>
      <c r="U8" s="18" t="s">
        <v>43</v>
      </c>
    </row>
    <row r="9" spans="1:24" ht="23.25" customHeight="1">
      <c r="A9" s="144" t="s">
        <v>91</v>
      </c>
      <c r="B9" s="145"/>
      <c r="C9" s="92">
        <f>D9+E9</f>
        <v>1028066534</v>
      </c>
      <c r="D9" s="93">
        <f>D10+D16</f>
        <v>797302995</v>
      </c>
      <c r="E9" s="93">
        <f aca="true" t="shared" si="0" ref="E9:T9">E10+E16</f>
        <v>230763539</v>
      </c>
      <c r="F9" s="93">
        <f t="shared" si="0"/>
        <v>2292892</v>
      </c>
      <c r="G9" s="93">
        <f t="shared" si="0"/>
        <v>0</v>
      </c>
      <c r="H9" s="93">
        <f t="shared" si="0"/>
        <v>1025773642</v>
      </c>
      <c r="I9" s="93">
        <f t="shared" si="0"/>
        <v>786680398</v>
      </c>
      <c r="J9" s="93">
        <f t="shared" si="0"/>
        <v>31658284</v>
      </c>
      <c r="K9" s="93">
        <f t="shared" si="0"/>
        <v>23582083</v>
      </c>
      <c r="L9" s="93">
        <f t="shared" si="0"/>
        <v>7980612</v>
      </c>
      <c r="M9" s="93">
        <f t="shared" si="0"/>
        <v>95589</v>
      </c>
      <c r="N9" s="93">
        <f t="shared" si="0"/>
        <v>754815318</v>
      </c>
      <c r="O9" s="93">
        <f t="shared" si="0"/>
        <v>0</v>
      </c>
      <c r="P9" s="93">
        <f t="shared" si="0"/>
        <v>206796</v>
      </c>
      <c r="Q9" s="93">
        <f t="shared" si="0"/>
        <v>238081186</v>
      </c>
      <c r="R9" s="93">
        <f t="shared" si="0"/>
        <v>0</v>
      </c>
      <c r="S9" s="93">
        <f t="shared" si="0"/>
        <v>1012058</v>
      </c>
      <c r="T9" s="93">
        <f t="shared" si="0"/>
        <v>994115358</v>
      </c>
      <c r="U9" s="94">
        <f aca="true" t="shared" si="1" ref="U9:U47">IF(I9&lt;&gt;0,J9/I9,"")</f>
        <v>0.040242878913070365</v>
      </c>
      <c r="V9" s="95">
        <f>IF(H9=C9-F9-G9,H9,"KT lai")</f>
        <v>1025773642</v>
      </c>
      <c r="W9" s="39">
        <f>I9+Q9+R9+S9</f>
        <v>1025773642</v>
      </c>
      <c r="X9" s="39">
        <f>V9-W9</f>
        <v>0</v>
      </c>
    </row>
    <row r="10" spans="1:24" s="40" customFormat="1" ht="24" customHeight="1">
      <c r="A10" s="96" t="s">
        <v>46</v>
      </c>
      <c r="B10" s="97" t="s">
        <v>47</v>
      </c>
      <c r="C10" s="98">
        <f aca="true" t="shared" si="2" ref="C10:C47">D10+E10</f>
        <v>663410358</v>
      </c>
      <c r="D10" s="99">
        <f>SUM(D11:D15)</f>
        <v>644808281</v>
      </c>
      <c r="E10" s="99">
        <f aca="true" t="shared" si="3" ref="E10:T10">SUM(E11:E15)</f>
        <v>18602077</v>
      </c>
      <c r="F10" s="99">
        <f t="shared" si="3"/>
        <v>41081</v>
      </c>
      <c r="G10" s="99">
        <f t="shared" si="3"/>
        <v>0</v>
      </c>
      <c r="H10" s="99">
        <f t="shared" si="3"/>
        <v>663369277</v>
      </c>
      <c r="I10" s="99">
        <f t="shared" si="3"/>
        <v>655232473</v>
      </c>
      <c r="J10" s="99">
        <f t="shared" si="3"/>
        <v>4533183</v>
      </c>
      <c r="K10" s="99">
        <f t="shared" si="3"/>
        <v>4533183</v>
      </c>
      <c r="L10" s="99">
        <f t="shared" si="3"/>
        <v>0</v>
      </c>
      <c r="M10" s="99">
        <f t="shared" si="3"/>
        <v>0</v>
      </c>
      <c r="N10" s="99">
        <f t="shared" si="3"/>
        <v>650699290</v>
      </c>
      <c r="O10" s="99">
        <f t="shared" si="3"/>
        <v>0</v>
      </c>
      <c r="P10" s="99">
        <f t="shared" si="3"/>
        <v>0</v>
      </c>
      <c r="Q10" s="99">
        <f t="shared" si="3"/>
        <v>7993625</v>
      </c>
      <c r="R10" s="99">
        <f t="shared" si="3"/>
        <v>0</v>
      </c>
      <c r="S10" s="99">
        <f t="shared" si="3"/>
        <v>143179</v>
      </c>
      <c r="T10" s="99">
        <f t="shared" si="3"/>
        <v>658836094</v>
      </c>
      <c r="U10" s="100">
        <f t="shared" si="1"/>
        <v>0.006918434581309281</v>
      </c>
      <c r="V10" s="95">
        <f>IF(H10=C10-F10-G10,H10,"KT lai")</f>
        <v>663369277</v>
      </c>
      <c r="W10" s="39">
        <f>I10+Q10+R10+S10</f>
        <v>663369277</v>
      </c>
      <c r="X10" s="39">
        <f>V10-W10</f>
        <v>0</v>
      </c>
    </row>
    <row r="11" spans="1:24" s="30" customFormat="1" ht="13.5" customHeight="1">
      <c r="A11" s="101">
        <v>1.1</v>
      </c>
      <c r="B11" s="102" t="s">
        <v>48</v>
      </c>
      <c r="C11" s="92">
        <f t="shared" si="2"/>
        <v>5374930</v>
      </c>
      <c r="D11" s="134">
        <f>'[2]05 Quy'!D11</f>
        <v>5049798</v>
      </c>
      <c r="E11" s="103">
        <v>325132</v>
      </c>
      <c r="F11" s="103">
        <v>0</v>
      </c>
      <c r="G11" s="103">
        <v>0</v>
      </c>
      <c r="H11" s="92">
        <f aca="true" t="shared" si="4" ref="H11:H47">C11-G11-F11</f>
        <v>5374930</v>
      </c>
      <c r="I11" s="92">
        <f>J11+N11+O11+P11</f>
        <v>4639196</v>
      </c>
      <c r="J11" s="92">
        <f aca="true" t="shared" si="5" ref="J11:J47">K11+L11+M11</f>
        <v>228152</v>
      </c>
      <c r="K11" s="103">
        <v>228152</v>
      </c>
      <c r="L11" s="103">
        <v>0</v>
      </c>
      <c r="M11" s="103">
        <v>0</v>
      </c>
      <c r="N11" s="103">
        <v>4411044</v>
      </c>
      <c r="O11" s="103">
        <v>0</v>
      </c>
      <c r="P11" s="103">
        <v>0</v>
      </c>
      <c r="Q11" s="134">
        <f>H11-I11-R11-S11</f>
        <v>735734</v>
      </c>
      <c r="R11" s="103">
        <v>0</v>
      </c>
      <c r="S11" s="103">
        <v>0</v>
      </c>
      <c r="T11" s="92">
        <f aca="true" t="shared" si="6" ref="T11:T47">SUM(N11:S11)</f>
        <v>5146778</v>
      </c>
      <c r="U11" s="94">
        <f t="shared" si="1"/>
        <v>0.049179211225393364</v>
      </c>
      <c r="V11" s="95">
        <f aca="true" t="shared" si="7" ref="V11:V47">IF(H11=C11-F11-G11,H11,"KT lai")</f>
        <v>5374930</v>
      </c>
      <c r="W11" s="39">
        <f aca="true" t="shared" si="8" ref="W11:W47">I11+Q11+R11+S11</f>
        <v>5374930</v>
      </c>
      <c r="X11" s="39">
        <f aca="true" t="shared" si="9" ref="X11:X47">V11-W11</f>
        <v>0</v>
      </c>
    </row>
    <row r="12" spans="1:24" s="30" customFormat="1" ht="13.5" customHeight="1">
      <c r="A12" s="101">
        <v>1.2</v>
      </c>
      <c r="B12" s="102" t="s">
        <v>49</v>
      </c>
      <c r="C12" s="92">
        <f t="shared" si="2"/>
        <v>14930627</v>
      </c>
      <c r="D12" s="134">
        <f>'[2]05 Nhung'!D11</f>
        <v>6799248</v>
      </c>
      <c r="E12" s="103">
        <v>8131379</v>
      </c>
      <c r="F12" s="103">
        <v>0</v>
      </c>
      <c r="G12" s="103">
        <v>0</v>
      </c>
      <c r="H12" s="92">
        <f t="shared" si="4"/>
        <v>14930627</v>
      </c>
      <c r="I12" s="92">
        <f>J12+N12+O12+P12</f>
        <v>8770972</v>
      </c>
      <c r="J12" s="92">
        <f t="shared" si="5"/>
        <v>2292565</v>
      </c>
      <c r="K12" s="103">
        <v>2292565</v>
      </c>
      <c r="L12" s="103">
        <v>0</v>
      </c>
      <c r="M12" s="103">
        <v>0</v>
      </c>
      <c r="N12" s="103">
        <v>6478407</v>
      </c>
      <c r="O12" s="103">
        <v>0</v>
      </c>
      <c r="P12" s="103">
        <v>0</v>
      </c>
      <c r="Q12" s="134">
        <f>H12-I12-R12-S12</f>
        <v>6159655</v>
      </c>
      <c r="R12" s="103">
        <v>0</v>
      </c>
      <c r="S12" s="103">
        <v>0</v>
      </c>
      <c r="T12" s="92">
        <f t="shared" si="6"/>
        <v>12638062</v>
      </c>
      <c r="U12" s="94">
        <f t="shared" si="1"/>
        <v>0.26138095070876977</v>
      </c>
      <c r="V12" s="95">
        <f t="shared" si="7"/>
        <v>14930627</v>
      </c>
      <c r="W12" s="39">
        <f t="shared" si="8"/>
        <v>14930627</v>
      </c>
      <c r="X12" s="39">
        <f t="shared" si="9"/>
        <v>0</v>
      </c>
    </row>
    <row r="13" spans="1:24" s="30" customFormat="1" ht="13.5" customHeight="1">
      <c r="A13" s="101">
        <v>1.3</v>
      </c>
      <c r="B13" s="102" t="s">
        <v>50</v>
      </c>
      <c r="C13" s="92">
        <f t="shared" si="2"/>
        <v>3717547</v>
      </c>
      <c r="D13" s="134">
        <f>'[2]05 Phuong'!D11</f>
        <v>1547842</v>
      </c>
      <c r="E13" s="103">
        <v>2169705</v>
      </c>
      <c r="F13" s="103">
        <v>10390</v>
      </c>
      <c r="G13" s="103">
        <v>0</v>
      </c>
      <c r="H13" s="92">
        <f t="shared" si="4"/>
        <v>3707157</v>
      </c>
      <c r="I13" s="92">
        <f>J13+N13+O13+P13</f>
        <v>2527087</v>
      </c>
      <c r="J13" s="92">
        <f t="shared" si="5"/>
        <v>1714179</v>
      </c>
      <c r="K13" s="103">
        <v>1714179</v>
      </c>
      <c r="L13" s="103">
        <v>0</v>
      </c>
      <c r="M13" s="103">
        <v>0</v>
      </c>
      <c r="N13" s="103">
        <v>812908</v>
      </c>
      <c r="O13" s="103">
        <v>0</v>
      </c>
      <c r="P13" s="103">
        <v>0</v>
      </c>
      <c r="Q13" s="134">
        <f>H13-I13-R13-S13</f>
        <v>1036891</v>
      </c>
      <c r="R13" s="103">
        <v>0</v>
      </c>
      <c r="S13" s="103">
        <v>143179</v>
      </c>
      <c r="T13" s="92">
        <f t="shared" si="6"/>
        <v>1992978</v>
      </c>
      <c r="U13" s="94">
        <f t="shared" si="1"/>
        <v>0.6783221155425199</v>
      </c>
      <c r="V13" s="95">
        <f t="shared" si="7"/>
        <v>3707157</v>
      </c>
      <c r="W13" s="39">
        <f t="shared" si="8"/>
        <v>3707157</v>
      </c>
      <c r="X13" s="39">
        <f t="shared" si="9"/>
        <v>0</v>
      </c>
    </row>
    <row r="14" spans="1:24" s="30" customFormat="1" ht="13.5" customHeight="1">
      <c r="A14" s="101">
        <v>1.4</v>
      </c>
      <c r="B14" s="102" t="s">
        <v>51</v>
      </c>
      <c r="C14" s="92">
        <f>D14+E14</f>
        <v>638996333</v>
      </c>
      <c r="D14" s="134">
        <f>'[2]05 Hiep'!D11</f>
        <v>631350048</v>
      </c>
      <c r="E14" s="103">
        <v>7646285</v>
      </c>
      <c r="F14" s="103">
        <v>5264</v>
      </c>
      <c r="G14" s="103">
        <v>0</v>
      </c>
      <c r="H14" s="92">
        <f>C14-G14-F14</f>
        <v>638991069</v>
      </c>
      <c r="I14" s="92">
        <f>J14+N14+O14+P14</f>
        <v>638991069</v>
      </c>
      <c r="J14" s="92">
        <f>K14+L14+M14</f>
        <v>202197</v>
      </c>
      <c r="K14" s="103">
        <v>202197</v>
      </c>
      <c r="L14" s="103">
        <v>0</v>
      </c>
      <c r="M14" s="103">
        <v>0</v>
      </c>
      <c r="N14" s="103">
        <v>638788872</v>
      </c>
      <c r="O14" s="103">
        <v>0</v>
      </c>
      <c r="P14" s="103">
        <v>0</v>
      </c>
      <c r="Q14" s="134">
        <f>H14-I14-R14-S14</f>
        <v>0</v>
      </c>
      <c r="R14" s="103">
        <v>0</v>
      </c>
      <c r="S14" s="103">
        <v>0</v>
      </c>
      <c r="T14" s="92">
        <f>SUM(N14:S14)</f>
        <v>638788872</v>
      </c>
      <c r="U14" s="94">
        <f>IF(I14&lt;&gt;0,J14/I14,"")</f>
        <v>0.00031643165266211255</v>
      </c>
      <c r="V14" s="95">
        <f>IF(H14=C14-F14-G14,H14,"KT lai")</f>
        <v>638991069</v>
      </c>
      <c r="W14" s="39">
        <f>I14+Q14+R14+S14</f>
        <v>638991069</v>
      </c>
      <c r="X14" s="39">
        <f>V14-W14</f>
        <v>0</v>
      </c>
    </row>
    <row r="15" spans="1:24" s="30" customFormat="1" ht="13.5" customHeight="1">
      <c r="A15" s="101">
        <v>1.5</v>
      </c>
      <c r="B15" s="102" t="s">
        <v>52</v>
      </c>
      <c r="C15" s="92">
        <f t="shared" si="2"/>
        <v>390921</v>
      </c>
      <c r="D15" s="135">
        <f>'[2]05 hoan'!D11</f>
        <v>61345</v>
      </c>
      <c r="E15" s="103">
        <v>329576</v>
      </c>
      <c r="F15" s="103">
        <v>25427</v>
      </c>
      <c r="G15" s="103">
        <v>0</v>
      </c>
      <c r="H15" s="92">
        <f t="shared" si="4"/>
        <v>365494</v>
      </c>
      <c r="I15" s="92">
        <f>J15+N15+O15+P15</f>
        <v>304149</v>
      </c>
      <c r="J15" s="92">
        <f t="shared" si="5"/>
        <v>96090</v>
      </c>
      <c r="K15" s="103">
        <v>96090</v>
      </c>
      <c r="L15" s="103">
        <v>0</v>
      </c>
      <c r="M15" s="103">
        <v>0</v>
      </c>
      <c r="N15" s="103">
        <v>208059</v>
      </c>
      <c r="O15" s="103">
        <v>0</v>
      </c>
      <c r="P15" s="103">
        <v>0</v>
      </c>
      <c r="Q15" s="134">
        <f>H15-I15-R15-S15</f>
        <v>61345</v>
      </c>
      <c r="R15" s="103">
        <v>0</v>
      </c>
      <c r="S15" s="103">
        <v>0</v>
      </c>
      <c r="T15" s="92">
        <f t="shared" si="6"/>
        <v>269404</v>
      </c>
      <c r="U15" s="94">
        <f>IF(I15&lt;&gt;0,J15/I15,"")</f>
        <v>0.31593067871339375</v>
      </c>
      <c r="V15" s="95">
        <f t="shared" si="7"/>
        <v>365494</v>
      </c>
      <c r="W15" s="39">
        <f t="shared" si="8"/>
        <v>365494</v>
      </c>
      <c r="X15" s="39">
        <f t="shared" si="9"/>
        <v>0</v>
      </c>
    </row>
    <row r="16" spans="1:24" s="40" customFormat="1" ht="33" customHeight="1">
      <c r="A16" s="96" t="s">
        <v>53</v>
      </c>
      <c r="B16" s="97" t="s">
        <v>54</v>
      </c>
      <c r="C16" s="98">
        <f t="shared" si="2"/>
        <v>364656176</v>
      </c>
      <c r="D16" s="99">
        <f>D17+D22+D27+D32+D38+D43</f>
        <v>152494714</v>
      </c>
      <c r="E16" s="104">
        <v>212161462</v>
      </c>
      <c r="F16" s="104">
        <v>2251811</v>
      </c>
      <c r="G16" s="104">
        <v>0</v>
      </c>
      <c r="H16" s="99">
        <f>H17+H22+H27+H32+H38+H43</f>
        <v>362404365</v>
      </c>
      <c r="I16" s="99">
        <f>I17+I22+I27+I32+I38+I43</f>
        <v>131447925</v>
      </c>
      <c r="J16" s="99">
        <f>J17+J22+J27+J32+J38+J43</f>
        <v>27125101</v>
      </c>
      <c r="K16" s="104">
        <f>K17+K22+K27+K32+K38+K43</f>
        <v>19048900</v>
      </c>
      <c r="L16" s="104">
        <f>L17+L22+L27+L32+L38+L43</f>
        <v>7980612</v>
      </c>
      <c r="M16" s="104">
        <f>M17+M22+M27+M32+M38+M43</f>
        <v>95589</v>
      </c>
      <c r="N16" s="104">
        <f>N17+N22+N27+N32+N38+N43</f>
        <v>104116028</v>
      </c>
      <c r="O16" s="104">
        <f>O17+O22+O27+O32+O38+O43</f>
        <v>0</v>
      </c>
      <c r="P16" s="105">
        <f>SUM(P17,P22,P27,P32,P38,P43)</f>
        <v>206796</v>
      </c>
      <c r="Q16" s="99">
        <f>Q17+Q22+Q27+Q32+Q38+Q43</f>
        <v>230087561</v>
      </c>
      <c r="R16" s="99">
        <f>R17+R22+R27+R32+R38+R43</f>
        <v>0</v>
      </c>
      <c r="S16" s="105">
        <f>SUM(S17,S22,S27,S32,S38,S43)</f>
        <v>868879</v>
      </c>
      <c r="T16" s="99">
        <f>T17+T22+T27+T32+T38+T43</f>
        <v>335279264</v>
      </c>
      <c r="U16" s="100">
        <f t="shared" si="1"/>
        <v>0.20635625096402244</v>
      </c>
      <c r="V16" s="95">
        <f t="shared" si="7"/>
        <v>362404365</v>
      </c>
      <c r="W16" s="39">
        <f t="shared" si="8"/>
        <v>362404365</v>
      </c>
      <c r="X16" s="39">
        <f t="shared" si="9"/>
        <v>0</v>
      </c>
    </row>
    <row r="17" spans="1:24" s="40" customFormat="1" ht="23.25" customHeight="1">
      <c r="A17" s="106">
        <v>1</v>
      </c>
      <c r="B17" s="97" t="s">
        <v>55</v>
      </c>
      <c r="C17" s="98">
        <f t="shared" si="2"/>
        <v>11127568</v>
      </c>
      <c r="D17" s="99">
        <f>SUM(D18:D21)</f>
        <v>5462545</v>
      </c>
      <c r="E17" s="104">
        <v>5665023</v>
      </c>
      <c r="F17" s="104">
        <v>758001</v>
      </c>
      <c r="G17" s="104">
        <v>0</v>
      </c>
      <c r="H17" s="99">
        <f>SUM(H18:H21)</f>
        <v>10369567</v>
      </c>
      <c r="I17" s="99">
        <f>SUM(I18:I21)</f>
        <v>8747402</v>
      </c>
      <c r="J17" s="99">
        <f>SUM(J18:J21)</f>
        <v>3846305</v>
      </c>
      <c r="K17" s="104">
        <v>3846305</v>
      </c>
      <c r="L17" s="104">
        <v>0</v>
      </c>
      <c r="M17" s="104">
        <v>0</v>
      </c>
      <c r="N17" s="104">
        <v>4696787</v>
      </c>
      <c r="O17" s="104">
        <v>0</v>
      </c>
      <c r="P17" s="105">
        <f>SUM(P18:P21)</f>
        <v>204310</v>
      </c>
      <c r="Q17" s="99">
        <f>SUM(Q18:Q21)</f>
        <v>1622165</v>
      </c>
      <c r="R17" s="99">
        <f>SUM(R18:R21)</f>
        <v>0</v>
      </c>
      <c r="S17" s="105">
        <f>SUM(S18:S21)</f>
        <v>0</v>
      </c>
      <c r="T17" s="99">
        <f>SUM(T18:T21)</f>
        <v>6523262</v>
      </c>
      <c r="U17" s="100">
        <f t="shared" si="1"/>
        <v>0.4397082699526099</v>
      </c>
      <c r="V17" s="95">
        <f t="shared" si="7"/>
        <v>10369567</v>
      </c>
      <c r="W17" s="39">
        <f t="shared" si="8"/>
        <v>10369567</v>
      </c>
      <c r="X17" s="39">
        <f t="shared" si="9"/>
        <v>0</v>
      </c>
    </row>
    <row r="18" spans="1:24" s="30" customFormat="1" ht="22.5" customHeight="1">
      <c r="A18" s="101">
        <v>1.1</v>
      </c>
      <c r="B18" s="102" t="s">
        <v>56</v>
      </c>
      <c r="C18" s="92">
        <f t="shared" si="2"/>
        <v>3554553</v>
      </c>
      <c r="D18" s="135">
        <f>2215177</f>
        <v>2215177</v>
      </c>
      <c r="E18" s="103">
        <v>1339376</v>
      </c>
      <c r="F18" s="103">
        <v>500000</v>
      </c>
      <c r="G18" s="103">
        <v>0</v>
      </c>
      <c r="H18" s="92">
        <f t="shared" si="4"/>
        <v>3054553</v>
      </c>
      <c r="I18" s="92">
        <f>J18+N18+O18+P18</f>
        <v>2192501</v>
      </c>
      <c r="J18" s="92">
        <f t="shared" si="5"/>
        <v>793706</v>
      </c>
      <c r="K18" s="103">
        <v>793706</v>
      </c>
      <c r="L18" s="103">
        <v>0</v>
      </c>
      <c r="M18" s="103">
        <v>0</v>
      </c>
      <c r="N18" s="103">
        <v>1213546</v>
      </c>
      <c r="O18" s="103">
        <v>0</v>
      </c>
      <c r="P18" s="103">
        <v>185249</v>
      </c>
      <c r="Q18" s="54">
        <f>H18-I18-R18-S18</f>
        <v>862052</v>
      </c>
      <c r="R18" s="103">
        <v>0</v>
      </c>
      <c r="S18" s="103">
        <v>0</v>
      </c>
      <c r="T18" s="92">
        <f t="shared" si="6"/>
        <v>2260847</v>
      </c>
      <c r="U18" s="94">
        <f t="shared" si="1"/>
        <v>0.36200941299456646</v>
      </c>
      <c r="V18" s="95">
        <f t="shared" si="7"/>
        <v>3054553</v>
      </c>
      <c r="W18" s="39">
        <f t="shared" si="8"/>
        <v>3054553</v>
      </c>
      <c r="X18" s="39">
        <f t="shared" si="9"/>
        <v>0</v>
      </c>
    </row>
    <row r="19" spans="1:24" s="30" customFormat="1" ht="13.5" customHeight="1">
      <c r="A19" s="101">
        <v>1.2</v>
      </c>
      <c r="B19" s="102" t="s">
        <v>57</v>
      </c>
      <c r="C19" s="92">
        <f t="shared" si="2"/>
        <v>4229637</v>
      </c>
      <c r="D19" s="135">
        <v>1324565</v>
      </c>
      <c r="E19" s="103">
        <v>2905072</v>
      </c>
      <c r="F19" s="103">
        <v>258001</v>
      </c>
      <c r="G19" s="103">
        <v>0</v>
      </c>
      <c r="H19" s="92">
        <f t="shared" si="4"/>
        <v>3971636</v>
      </c>
      <c r="I19" s="92">
        <f aca="true" t="shared" si="10" ref="I19:I47">J19+N19+O19+P19</f>
        <v>3585641</v>
      </c>
      <c r="J19" s="92">
        <f t="shared" si="5"/>
        <v>1767272</v>
      </c>
      <c r="K19" s="103">
        <v>1767272</v>
      </c>
      <c r="L19" s="103">
        <v>0</v>
      </c>
      <c r="M19" s="103">
        <v>0</v>
      </c>
      <c r="N19" s="103">
        <v>1818369</v>
      </c>
      <c r="O19" s="103">
        <v>0</v>
      </c>
      <c r="P19" s="103">
        <v>0</v>
      </c>
      <c r="Q19" s="54">
        <f>H19-I19-R19-S19</f>
        <v>385995</v>
      </c>
      <c r="R19" s="103">
        <v>0</v>
      </c>
      <c r="S19" s="103">
        <v>0</v>
      </c>
      <c r="T19" s="92">
        <f t="shared" si="6"/>
        <v>2204364</v>
      </c>
      <c r="U19" s="94">
        <f t="shared" si="1"/>
        <v>0.49287477469161023</v>
      </c>
      <c r="V19" s="95">
        <f t="shared" si="7"/>
        <v>3971636</v>
      </c>
      <c r="W19" s="39">
        <f t="shared" si="8"/>
        <v>3971636</v>
      </c>
      <c r="X19" s="39">
        <f t="shared" si="9"/>
        <v>0</v>
      </c>
    </row>
    <row r="20" spans="1:24" s="30" customFormat="1" ht="13.5" customHeight="1">
      <c r="A20" s="101">
        <v>1.3</v>
      </c>
      <c r="B20" s="102" t="s">
        <v>58</v>
      </c>
      <c r="C20" s="92">
        <f t="shared" si="2"/>
        <v>3021414</v>
      </c>
      <c r="D20" s="135">
        <v>1854307</v>
      </c>
      <c r="E20" s="103">
        <v>1167107</v>
      </c>
      <c r="F20" s="103">
        <v>0</v>
      </c>
      <c r="G20" s="103">
        <v>0</v>
      </c>
      <c r="H20" s="92">
        <f t="shared" si="4"/>
        <v>3021414</v>
      </c>
      <c r="I20" s="92">
        <f t="shared" si="10"/>
        <v>2701305</v>
      </c>
      <c r="J20" s="92">
        <f t="shared" si="5"/>
        <v>1039657</v>
      </c>
      <c r="K20" s="103">
        <v>1039657</v>
      </c>
      <c r="L20" s="103">
        <v>0</v>
      </c>
      <c r="M20" s="103">
        <v>0</v>
      </c>
      <c r="N20" s="103">
        <v>1642587</v>
      </c>
      <c r="O20" s="103">
        <v>0</v>
      </c>
      <c r="P20" s="103">
        <v>19061</v>
      </c>
      <c r="Q20" s="54">
        <f>H20-I20-R20-S20</f>
        <v>320109</v>
      </c>
      <c r="R20" s="103">
        <v>0</v>
      </c>
      <c r="S20" s="103">
        <v>0</v>
      </c>
      <c r="T20" s="92">
        <f t="shared" si="6"/>
        <v>1981757</v>
      </c>
      <c r="U20" s="94">
        <f t="shared" si="1"/>
        <v>0.3848721266202817</v>
      </c>
      <c r="V20" s="95">
        <f t="shared" si="7"/>
        <v>3021414</v>
      </c>
      <c r="W20" s="39">
        <f t="shared" si="8"/>
        <v>3021414</v>
      </c>
      <c r="X20" s="39">
        <f t="shared" si="9"/>
        <v>0</v>
      </c>
    </row>
    <row r="21" spans="1:24" s="30" customFormat="1" ht="13.5" customHeight="1">
      <c r="A21" s="101">
        <v>1.4</v>
      </c>
      <c r="B21" s="102" t="s">
        <v>59</v>
      </c>
      <c r="C21" s="92">
        <f t="shared" si="2"/>
        <v>321964</v>
      </c>
      <c r="D21" s="54">
        <v>68496</v>
      </c>
      <c r="E21" s="103">
        <v>253468</v>
      </c>
      <c r="F21" s="103">
        <v>0</v>
      </c>
      <c r="G21" s="103">
        <v>0</v>
      </c>
      <c r="H21" s="92">
        <f t="shared" si="4"/>
        <v>321964</v>
      </c>
      <c r="I21" s="92">
        <f t="shared" si="10"/>
        <v>267955</v>
      </c>
      <c r="J21" s="92">
        <f t="shared" si="5"/>
        <v>245670</v>
      </c>
      <c r="K21" s="103">
        <v>245670</v>
      </c>
      <c r="L21" s="103">
        <v>0</v>
      </c>
      <c r="M21" s="103">
        <v>0</v>
      </c>
      <c r="N21" s="103">
        <v>22285</v>
      </c>
      <c r="O21" s="103">
        <v>0</v>
      </c>
      <c r="P21" s="103">
        <v>0</v>
      </c>
      <c r="Q21" s="54">
        <f>H21-I21-R21-S21</f>
        <v>54009</v>
      </c>
      <c r="R21" s="103">
        <v>0</v>
      </c>
      <c r="S21" s="103">
        <v>0</v>
      </c>
      <c r="T21" s="92">
        <f t="shared" si="6"/>
        <v>76294</v>
      </c>
      <c r="U21" s="94">
        <f t="shared" si="1"/>
        <v>0.9168330503256144</v>
      </c>
      <c r="V21" s="95">
        <f t="shared" si="7"/>
        <v>321964</v>
      </c>
      <c r="W21" s="39">
        <f t="shared" si="8"/>
        <v>321964</v>
      </c>
      <c r="X21" s="39">
        <f t="shared" si="9"/>
        <v>0</v>
      </c>
    </row>
    <row r="22" spans="1:24" s="40" customFormat="1" ht="23.25" customHeight="1">
      <c r="A22" s="106">
        <v>2</v>
      </c>
      <c r="B22" s="97" t="s">
        <v>60</v>
      </c>
      <c r="C22" s="98">
        <f t="shared" si="2"/>
        <v>167032633</v>
      </c>
      <c r="D22" s="99">
        <f aca="true" t="shared" si="11" ref="D22:T22">SUM(D23:D26)</f>
        <v>37513793</v>
      </c>
      <c r="E22" s="104">
        <f>SUM(E23:E26)</f>
        <v>129518840</v>
      </c>
      <c r="F22" s="104">
        <f>SUM(F23:F26)</f>
        <v>800</v>
      </c>
      <c r="G22" s="104">
        <f>SUM(G23:G26)</f>
        <v>0</v>
      </c>
      <c r="H22" s="99">
        <f t="shared" si="11"/>
        <v>167031833</v>
      </c>
      <c r="I22" s="99">
        <f t="shared" si="11"/>
        <v>6356433</v>
      </c>
      <c r="J22" s="99">
        <f t="shared" si="11"/>
        <v>682074</v>
      </c>
      <c r="K22" s="104">
        <f>SUM(K23:K26)</f>
        <v>659811</v>
      </c>
      <c r="L22" s="104">
        <f>SUM(L23:L26)</f>
        <v>18588</v>
      </c>
      <c r="M22" s="104">
        <f>SUM(M23:M26)</f>
        <v>3675</v>
      </c>
      <c r="N22" s="104">
        <f>SUM(N23:N26)</f>
        <v>5674359</v>
      </c>
      <c r="O22" s="104">
        <f>SUM(O23:O26)</f>
        <v>0</v>
      </c>
      <c r="P22" s="105">
        <f t="shared" si="11"/>
        <v>0</v>
      </c>
      <c r="Q22" s="99">
        <f t="shared" si="11"/>
        <v>160675400</v>
      </c>
      <c r="R22" s="99">
        <f t="shared" si="11"/>
        <v>0</v>
      </c>
      <c r="S22" s="105">
        <f t="shared" si="11"/>
        <v>0</v>
      </c>
      <c r="T22" s="99">
        <f t="shared" si="11"/>
        <v>166349759</v>
      </c>
      <c r="U22" s="100">
        <f t="shared" si="1"/>
        <v>0.10730452126216071</v>
      </c>
      <c r="V22" s="95">
        <f t="shared" si="7"/>
        <v>167031833</v>
      </c>
      <c r="W22" s="39">
        <f t="shared" si="8"/>
        <v>167031833</v>
      </c>
      <c r="X22" s="39">
        <f t="shared" si="9"/>
        <v>0</v>
      </c>
    </row>
    <row r="23" spans="1:24" s="30" customFormat="1" ht="22.5" customHeight="1">
      <c r="A23" s="101">
        <v>2.1</v>
      </c>
      <c r="B23" s="102" t="s">
        <v>61</v>
      </c>
      <c r="C23" s="92">
        <f t="shared" si="2"/>
        <v>164394395</v>
      </c>
      <c r="D23" s="140">
        <v>35915623</v>
      </c>
      <c r="E23" s="103">
        <v>128478772</v>
      </c>
      <c r="F23" s="103">
        <v>800</v>
      </c>
      <c r="G23" s="103">
        <v>0</v>
      </c>
      <c r="H23" s="92">
        <f t="shared" si="4"/>
        <v>164393595</v>
      </c>
      <c r="I23" s="92">
        <f t="shared" si="10"/>
        <v>5113106</v>
      </c>
      <c r="J23" s="92">
        <f t="shared" si="5"/>
        <v>339502</v>
      </c>
      <c r="K23" s="103">
        <v>337539</v>
      </c>
      <c r="L23" s="103">
        <v>1963</v>
      </c>
      <c r="M23" s="103">
        <v>0</v>
      </c>
      <c r="N23" s="103">
        <v>4773604</v>
      </c>
      <c r="O23" s="103">
        <v>0</v>
      </c>
      <c r="P23" s="103">
        <v>0</v>
      </c>
      <c r="Q23" s="54">
        <f>H23-I23-R23-S23</f>
        <v>159280489</v>
      </c>
      <c r="R23" s="103">
        <v>0</v>
      </c>
      <c r="S23" s="103">
        <v>0</v>
      </c>
      <c r="T23" s="92">
        <f t="shared" si="6"/>
        <v>164054093</v>
      </c>
      <c r="U23" s="94">
        <f t="shared" si="1"/>
        <v>0.06639838876800129</v>
      </c>
      <c r="V23" s="95">
        <f t="shared" si="7"/>
        <v>164393595</v>
      </c>
      <c r="W23" s="39">
        <f t="shared" si="8"/>
        <v>164393595</v>
      </c>
      <c r="X23" s="39">
        <f t="shared" si="9"/>
        <v>0</v>
      </c>
    </row>
    <row r="24" spans="1:24" s="30" customFormat="1" ht="13.5" customHeight="1">
      <c r="A24" s="101">
        <v>2.2</v>
      </c>
      <c r="B24" s="102" t="s">
        <v>62</v>
      </c>
      <c r="C24" s="92">
        <f t="shared" si="2"/>
        <v>1027345</v>
      </c>
      <c r="D24" s="140">
        <v>156306</v>
      </c>
      <c r="E24" s="103">
        <v>871039</v>
      </c>
      <c r="F24" s="103">
        <v>0</v>
      </c>
      <c r="G24" s="103">
        <v>0</v>
      </c>
      <c r="H24" s="92">
        <f t="shared" si="4"/>
        <v>1027345</v>
      </c>
      <c r="I24" s="92">
        <f t="shared" si="10"/>
        <v>963428</v>
      </c>
      <c r="J24" s="92">
        <f t="shared" si="5"/>
        <v>202979</v>
      </c>
      <c r="K24" s="103">
        <v>193249</v>
      </c>
      <c r="L24" s="103">
        <v>9730</v>
      </c>
      <c r="M24" s="103">
        <v>0</v>
      </c>
      <c r="N24" s="103">
        <v>760449</v>
      </c>
      <c r="O24" s="103">
        <v>0</v>
      </c>
      <c r="P24" s="103">
        <v>0</v>
      </c>
      <c r="Q24" s="54">
        <f>H24-I24-R24-S24</f>
        <v>63917</v>
      </c>
      <c r="R24" s="103">
        <v>0</v>
      </c>
      <c r="S24" s="103">
        <v>0</v>
      </c>
      <c r="T24" s="92">
        <f t="shared" si="6"/>
        <v>824366</v>
      </c>
      <c r="U24" s="94">
        <f t="shared" si="1"/>
        <v>0.2106841403820524</v>
      </c>
      <c r="V24" s="95">
        <f t="shared" si="7"/>
        <v>1027345</v>
      </c>
      <c r="W24" s="39">
        <f t="shared" si="8"/>
        <v>1027345</v>
      </c>
      <c r="X24" s="39">
        <f t="shared" si="9"/>
        <v>0</v>
      </c>
    </row>
    <row r="25" spans="1:24" s="30" customFormat="1" ht="13.5" customHeight="1">
      <c r="A25" s="101">
        <v>2.3</v>
      </c>
      <c r="B25" s="102" t="s">
        <v>63</v>
      </c>
      <c r="C25" s="92">
        <f t="shared" si="2"/>
        <v>1606093</v>
      </c>
      <c r="D25" s="140">
        <v>1441864</v>
      </c>
      <c r="E25" s="103">
        <v>164229</v>
      </c>
      <c r="F25" s="103">
        <v>0</v>
      </c>
      <c r="G25" s="103">
        <v>0</v>
      </c>
      <c r="H25" s="92">
        <f t="shared" si="4"/>
        <v>1606093</v>
      </c>
      <c r="I25" s="92">
        <f t="shared" si="10"/>
        <v>275099</v>
      </c>
      <c r="J25" s="92">
        <f t="shared" si="5"/>
        <v>134793</v>
      </c>
      <c r="K25" s="103">
        <v>124223</v>
      </c>
      <c r="L25" s="103">
        <v>6895</v>
      </c>
      <c r="M25" s="103">
        <v>3675</v>
      </c>
      <c r="N25" s="103">
        <v>140306</v>
      </c>
      <c r="O25" s="103">
        <v>0</v>
      </c>
      <c r="P25" s="103">
        <v>0</v>
      </c>
      <c r="Q25" s="54">
        <f>H25-I25-R25-S25</f>
        <v>1330994</v>
      </c>
      <c r="R25" s="103">
        <v>0</v>
      </c>
      <c r="S25" s="103">
        <v>0</v>
      </c>
      <c r="T25" s="92">
        <f t="shared" si="6"/>
        <v>1471300</v>
      </c>
      <c r="U25" s="94">
        <f t="shared" si="1"/>
        <v>0.4899799708468588</v>
      </c>
      <c r="V25" s="95">
        <f t="shared" si="7"/>
        <v>1606093</v>
      </c>
      <c r="W25" s="39">
        <f t="shared" si="8"/>
        <v>1606093</v>
      </c>
      <c r="X25" s="39">
        <f t="shared" si="9"/>
        <v>0</v>
      </c>
    </row>
    <row r="26" spans="1:24" s="30" customFormat="1" ht="13.5" customHeight="1">
      <c r="A26" s="101">
        <v>2.4</v>
      </c>
      <c r="B26" s="102" t="s">
        <v>64</v>
      </c>
      <c r="C26" s="92">
        <f t="shared" si="2"/>
        <v>4800</v>
      </c>
      <c r="D26" s="140"/>
      <c r="E26" s="103">
        <v>4800</v>
      </c>
      <c r="F26" s="103">
        <v>0</v>
      </c>
      <c r="G26" s="103">
        <v>0</v>
      </c>
      <c r="H26" s="92">
        <f t="shared" si="4"/>
        <v>4800</v>
      </c>
      <c r="I26" s="92">
        <f t="shared" si="10"/>
        <v>4800</v>
      </c>
      <c r="J26" s="92">
        <f t="shared" si="5"/>
        <v>4800</v>
      </c>
      <c r="K26" s="103">
        <v>4800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54">
        <f>H26-I26-R26-S26</f>
        <v>0</v>
      </c>
      <c r="R26" s="103">
        <v>0</v>
      </c>
      <c r="S26" s="103">
        <v>0</v>
      </c>
      <c r="T26" s="92">
        <f t="shared" si="6"/>
        <v>0</v>
      </c>
      <c r="U26" s="94">
        <f t="shared" si="1"/>
        <v>1</v>
      </c>
      <c r="V26" s="95">
        <f t="shared" si="7"/>
        <v>4800</v>
      </c>
      <c r="W26" s="39">
        <f t="shared" si="8"/>
        <v>4800</v>
      </c>
      <c r="X26" s="39">
        <f t="shared" si="9"/>
        <v>0</v>
      </c>
    </row>
    <row r="27" spans="1:24" s="40" customFormat="1" ht="28.5" customHeight="1">
      <c r="A27" s="106">
        <v>3</v>
      </c>
      <c r="B27" s="97" t="s">
        <v>65</v>
      </c>
      <c r="C27" s="98">
        <f t="shared" si="2"/>
        <v>23069155</v>
      </c>
      <c r="D27" s="99">
        <f>SUM(D28:D31)</f>
        <v>19840307</v>
      </c>
      <c r="E27" s="104">
        <v>3228848</v>
      </c>
      <c r="F27" s="104">
        <v>62950</v>
      </c>
      <c r="G27" s="104">
        <v>0</v>
      </c>
      <c r="H27" s="99">
        <f>SUM(H28:H31)</f>
        <v>23006205</v>
      </c>
      <c r="I27" s="99">
        <f>SUM(I28:I31)</f>
        <v>12174321</v>
      </c>
      <c r="J27" s="99">
        <f>SUM(J28:J31)</f>
        <v>310384</v>
      </c>
      <c r="K27" s="104">
        <v>310384</v>
      </c>
      <c r="L27" s="104">
        <v>0</v>
      </c>
      <c r="M27" s="104">
        <v>0</v>
      </c>
      <c r="N27" s="104">
        <v>11863937</v>
      </c>
      <c r="O27" s="104">
        <v>0</v>
      </c>
      <c r="P27" s="105">
        <f>SUM(P28:P31)</f>
        <v>0</v>
      </c>
      <c r="Q27" s="99">
        <f>SUM(Q28:Q31)</f>
        <v>10728661</v>
      </c>
      <c r="R27" s="99">
        <f>SUM(R28:R31)</f>
        <v>0</v>
      </c>
      <c r="S27" s="105">
        <f>SUM(S28:S31)</f>
        <v>103223</v>
      </c>
      <c r="T27" s="99">
        <f>SUM(T28:T31)</f>
        <v>22695821</v>
      </c>
      <c r="U27" s="100">
        <f t="shared" si="1"/>
        <v>0.025494974216631876</v>
      </c>
      <c r="V27" s="95">
        <f t="shared" si="7"/>
        <v>23006205</v>
      </c>
      <c r="W27" s="39">
        <f t="shared" si="8"/>
        <v>23006205</v>
      </c>
      <c r="X27" s="39">
        <f t="shared" si="9"/>
        <v>0</v>
      </c>
    </row>
    <row r="28" spans="1:24" s="30" customFormat="1" ht="27" customHeight="1">
      <c r="A28" s="101">
        <v>3.1</v>
      </c>
      <c r="B28" s="102" t="s">
        <v>66</v>
      </c>
      <c r="C28" s="92">
        <f t="shared" si="2"/>
        <v>942189</v>
      </c>
      <c r="D28" s="54">
        <v>906297</v>
      </c>
      <c r="E28" s="103">
        <v>35892</v>
      </c>
      <c r="F28" s="103">
        <v>0</v>
      </c>
      <c r="G28" s="103">
        <v>0</v>
      </c>
      <c r="H28" s="92">
        <f t="shared" si="4"/>
        <v>942189</v>
      </c>
      <c r="I28" s="92">
        <f t="shared" si="10"/>
        <v>474312</v>
      </c>
      <c r="J28" s="92">
        <f t="shared" si="5"/>
        <v>10450</v>
      </c>
      <c r="K28" s="103">
        <v>10450</v>
      </c>
      <c r="L28" s="103">
        <v>0</v>
      </c>
      <c r="M28" s="103">
        <v>0</v>
      </c>
      <c r="N28" s="103">
        <v>463862</v>
      </c>
      <c r="O28" s="103">
        <v>0</v>
      </c>
      <c r="P28" s="103">
        <v>0</v>
      </c>
      <c r="Q28" s="54">
        <f>H28-I28-R28-S28</f>
        <v>467877</v>
      </c>
      <c r="R28" s="103">
        <v>0</v>
      </c>
      <c r="S28" s="103">
        <v>0</v>
      </c>
      <c r="T28" s="92">
        <f t="shared" si="6"/>
        <v>931739</v>
      </c>
      <c r="U28" s="94">
        <f t="shared" si="1"/>
        <v>0.022031911484423756</v>
      </c>
      <c r="V28" s="95">
        <f t="shared" si="7"/>
        <v>942189</v>
      </c>
      <c r="W28" s="39">
        <f t="shared" si="8"/>
        <v>942189</v>
      </c>
      <c r="X28" s="39">
        <f t="shared" si="9"/>
        <v>0</v>
      </c>
    </row>
    <row r="29" spans="1:24" s="30" customFormat="1" ht="13.5" customHeight="1">
      <c r="A29" s="101">
        <v>3.2</v>
      </c>
      <c r="B29" s="102" t="s">
        <v>67</v>
      </c>
      <c r="C29" s="92">
        <f t="shared" si="2"/>
        <v>11798426</v>
      </c>
      <c r="D29" s="54">
        <v>9438752</v>
      </c>
      <c r="E29" s="103">
        <v>2359674</v>
      </c>
      <c r="F29" s="103">
        <v>3600</v>
      </c>
      <c r="G29" s="103">
        <v>0</v>
      </c>
      <c r="H29" s="92">
        <f t="shared" si="4"/>
        <v>11794826</v>
      </c>
      <c r="I29" s="92">
        <f t="shared" si="10"/>
        <v>3756802</v>
      </c>
      <c r="J29" s="92">
        <f t="shared" si="5"/>
        <v>88947</v>
      </c>
      <c r="K29" s="103">
        <v>88947</v>
      </c>
      <c r="L29" s="103">
        <v>0</v>
      </c>
      <c r="M29" s="103">
        <v>0</v>
      </c>
      <c r="N29" s="103">
        <v>3667855</v>
      </c>
      <c r="O29" s="103">
        <v>0</v>
      </c>
      <c r="P29" s="103">
        <v>0</v>
      </c>
      <c r="Q29" s="54">
        <f>H29-I29-R29-S29</f>
        <v>7934801</v>
      </c>
      <c r="R29" s="103">
        <v>0</v>
      </c>
      <c r="S29" s="103">
        <v>103223</v>
      </c>
      <c r="T29" s="92">
        <f t="shared" si="6"/>
        <v>11705879</v>
      </c>
      <c r="U29" s="94">
        <f t="shared" si="1"/>
        <v>0.023676254431295556</v>
      </c>
      <c r="V29" s="95">
        <f t="shared" si="7"/>
        <v>11794826</v>
      </c>
      <c r="W29" s="39">
        <f t="shared" si="8"/>
        <v>11794826</v>
      </c>
      <c r="X29" s="39">
        <f t="shared" si="9"/>
        <v>0</v>
      </c>
    </row>
    <row r="30" spans="1:24" s="30" customFormat="1" ht="13.5" customHeight="1">
      <c r="A30" s="101">
        <v>3.3</v>
      </c>
      <c r="B30" s="102" t="s">
        <v>68</v>
      </c>
      <c r="C30" s="92">
        <f t="shared" si="2"/>
        <v>10266577</v>
      </c>
      <c r="D30" s="54">
        <v>9463770</v>
      </c>
      <c r="E30" s="103">
        <v>802807</v>
      </c>
      <c r="F30" s="103">
        <v>59350</v>
      </c>
      <c r="G30" s="103">
        <v>0</v>
      </c>
      <c r="H30" s="92">
        <f t="shared" si="4"/>
        <v>10207227</v>
      </c>
      <c r="I30" s="92">
        <f t="shared" si="10"/>
        <v>7893593</v>
      </c>
      <c r="J30" s="92">
        <f t="shared" si="5"/>
        <v>205237</v>
      </c>
      <c r="K30" s="103">
        <v>205237</v>
      </c>
      <c r="L30" s="103">
        <v>0</v>
      </c>
      <c r="M30" s="103">
        <v>0</v>
      </c>
      <c r="N30" s="103">
        <v>7688356</v>
      </c>
      <c r="O30" s="103">
        <v>0</v>
      </c>
      <c r="P30" s="103">
        <v>0</v>
      </c>
      <c r="Q30" s="54">
        <f>H30-I30-R30-S30</f>
        <v>2313634</v>
      </c>
      <c r="R30" s="103">
        <v>0</v>
      </c>
      <c r="S30" s="103">
        <v>0</v>
      </c>
      <c r="T30" s="92">
        <f t="shared" si="6"/>
        <v>10001990</v>
      </c>
      <c r="U30" s="94">
        <f t="shared" si="1"/>
        <v>0.026000453785747505</v>
      </c>
      <c r="V30" s="95">
        <f t="shared" si="7"/>
        <v>10207227</v>
      </c>
      <c r="W30" s="39">
        <f t="shared" si="8"/>
        <v>10207227</v>
      </c>
      <c r="X30" s="39">
        <f t="shared" si="9"/>
        <v>0</v>
      </c>
    </row>
    <row r="31" spans="1:24" s="30" customFormat="1" ht="13.5" customHeight="1">
      <c r="A31" s="101">
        <v>3.4</v>
      </c>
      <c r="B31" s="102" t="s">
        <v>69</v>
      </c>
      <c r="C31" s="92">
        <f t="shared" si="2"/>
        <v>61963</v>
      </c>
      <c r="D31" s="54">
        <v>31488</v>
      </c>
      <c r="E31" s="103">
        <v>30475</v>
      </c>
      <c r="F31" s="103">
        <v>0</v>
      </c>
      <c r="G31" s="103">
        <v>0</v>
      </c>
      <c r="H31" s="92">
        <f t="shared" si="4"/>
        <v>61963</v>
      </c>
      <c r="I31" s="92">
        <f t="shared" si="10"/>
        <v>49614</v>
      </c>
      <c r="J31" s="92">
        <f t="shared" si="5"/>
        <v>5750</v>
      </c>
      <c r="K31" s="103">
        <v>5750</v>
      </c>
      <c r="L31" s="103">
        <v>0</v>
      </c>
      <c r="M31" s="103">
        <v>0</v>
      </c>
      <c r="N31" s="103">
        <v>43864</v>
      </c>
      <c r="O31" s="103">
        <v>0</v>
      </c>
      <c r="P31" s="103">
        <v>0</v>
      </c>
      <c r="Q31" s="54">
        <f>H31-I31-R31-S31</f>
        <v>12349</v>
      </c>
      <c r="R31" s="103">
        <v>0</v>
      </c>
      <c r="S31" s="103">
        <v>0</v>
      </c>
      <c r="T31" s="92">
        <f t="shared" si="6"/>
        <v>56213</v>
      </c>
      <c r="U31" s="94">
        <f t="shared" si="1"/>
        <v>0.11589470713911396</v>
      </c>
      <c r="V31" s="95">
        <f t="shared" si="7"/>
        <v>61963</v>
      </c>
      <c r="W31" s="39">
        <f t="shared" si="8"/>
        <v>61963</v>
      </c>
      <c r="X31" s="39">
        <f t="shared" si="9"/>
        <v>0</v>
      </c>
    </row>
    <row r="32" spans="1:24" s="40" customFormat="1" ht="25.5" customHeight="1">
      <c r="A32" s="106">
        <v>4</v>
      </c>
      <c r="B32" s="97" t="s">
        <v>70</v>
      </c>
      <c r="C32" s="98">
        <f t="shared" si="2"/>
        <v>14190451</v>
      </c>
      <c r="D32" s="99">
        <f>SUM(D33:D37)</f>
        <v>8256681</v>
      </c>
      <c r="E32" s="104">
        <f>SUM(E33:E37)</f>
        <v>5933770</v>
      </c>
      <c r="F32" s="104">
        <v>1300</v>
      </c>
      <c r="G32" s="104">
        <v>0</v>
      </c>
      <c r="H32" s="99">
        <f>SUM(H33:H37)</f>
        <v>14189151</v>
      </c>
      <c r="I32" s="99">
        <f>SUM(I33:I37)</f>
        <v>6847226</v>
      </c>
      <c r="J32" s="99">
        <f>SUM(J33:J37)</f>
        <v>4009960</v>
      </c>
      <c r="K32" s="104">
        <v>4009960</v>
      </c>
      <c r="L32" s="104">
        <v>0</v>
      </c>
      <c r="M32" s="104">
        <v>0</v>
      </c>
      <c r="N32" s="104">
        <v>2834780</v>
      </c>
      <c r="O32" s="104">
        <v>0</v>
      </c>
      <c r="P32" s="105">
        <f>SUM(P33:P37)</f>
        <v>2486</v>
      </c>
      <c r="Q32" s="99">
        <f>SUM(Q33:Q37)</f>
        <v>6576269</v>
      </c>
      <c r="R32" s="99">
        <f>SUM(R33:R37)</f>
        <v>0</v>
      </c>
      <c r="S32" s="105">
        <f>SUM(S33:S37)</f>
        <v>765656</v>
      </c>
      <c r="T32" s="99">
        <f>SUM(T33:T37)</f>
        <v>10179191</v>
      </c>
      <c r="U32" s="100">
        <f t="shared" si="1"/>
        <v>0.585632780340535</v>
      </c>
      <c r="V32" s="95">
        <f t="shared" si="7"/>
        <v>14189151</v>
      </c>
      <c r="W32" s="39">
        <f t="shared" si="8"/>
        <v>14189151</v>
      </c>
      <c r="X32" s="39">
        <f t="shared" si="9"/>
        <v>0</v>
      </c>
    </row>
    <row r="33" spans="1:24" s="30" customFormat="1" ht="13.5" customHeight="1">
      <c r="A33" s="101">
        <v>4.1</v>
      </c>
      <c r="B33" s="102" t="s">
        <v>71</v>
      </c>
      <c r="C33" s="92">
        <f t="shared" si="2"/>
        <v>4685016</v>
      </c>
      <c r="D33" s="54">
        <v>1076354</v>
      </c>
      <c r="E33" s="103">
        <v>3608662</v>
      </c>
      <c r="F33" s="103">
        <v>0</v>
      </c>
      <c r="G33" s="103">
        <v>0</v>
      </c>
      <c r="H33" s="92">
        <f t="shared" si="4"/>
        <v>4685016</v>
      </c>
      <c r="I33" s="92">
        <f t="shared" si="10"/>
        <v>3737451</v>
      </c>
      <c r="J33" s="92">
        <f t="shared" si="5"/>
        <v>1762446</v>
      </c>
      <c r="K33" s="103">
        <v>1762446</v>
      </c>
      <c r="L33" s="103">
        <v>0</v>
      </c>
      <c r="M33" s="103">
        <v>0</v>
      </c>
      <c r="N33" s="103">
        <v>1972519</v>
      </c>
      <c r="O33" s="103">
        <v>0</v>
      </c>
      <c r="P33" s="103">
        <v>2486</v>
      </c>
      <c r="Q33" s="54">
        <f>H33-I33-R33-S33</f>
        <v>182659</v>
      </c>
      <c r="R33" s="103">
        <v>0</v>
      </c>
      <c r="S33" s="103">
        <v>764906</v>
      </c>
      <c r="T33" s="92">
        <f t="shared" si="6"/>
        <v>2922570</v>
      </c>
      <c r="U33" s="94">
        <f t="shared" si="1"/>
        <v>0.47156364056679273</v>
      </c>
      <c r="V33" s="95">
        <f t="shared" si="7"/>
        <v>4685016</v>
      </c>
      <c r="W33" s="39">
        <f t="shared" si="8"/>
        <v>4685016</v>
      </c>
      <c r="X33" s="39">
        <f t="shared" si="9"/>
        <v>0</v>
      </c>
    </row>
    <row r="34" spans="1:24" s="30" customFormat="1" ht="13.5" customHeight="1">
      <c r="A34" s="101">
        <v>4.3</v>
      </c>
      <c r="B34" s="102" t="s">
        <v>72</v>
      </c>
      <c r="C34" s="92">
        <f t="shared" si="2"/>
        <v>6493997</v>
      </c>
      <c r="D34" s="54">
        <v>6301441</v>
      </c>
      <c r="E34" s="103">
        <v>192556</v>
      </c>
      <c r="F34" s="103">
        <v>0</v>
      </c>
      <c r="G34" s="103">
        <v>0</v>
      </c>
      <c r="H34" s="92">
        <f t="shared" si="4"/>
        <v>6493997</v>
      </c>
      <c r="I34" s="92">
        <f t="shared" si="10"/>
        <v>202276</v>
      </c>
      <c r="J34" s="92">
        <f t="shared" si="5"/>
        <v>123541</v>
      </c>
      <c r="K34" s="103">
        <v>123541</v>
      </c>
      <c r="L34" s="103">
        <v>0</v>
      </c>
      <c r="M34" s="103">
        <v>0</v>
      </c>
      <c r="N34" s="103">
        <v>78735</v>
      </c>
      <c r="O34" s="103">
        <v>0</v>
      </c>
      <c r="P34" s="103">
        <v>0</v>
      </c>
      <c r="Q34" s="54">
        <f>H34-I34-R34-S34</f>
        <v>6291721</v>
      </c>
      <c r="R34" s="103">
        <v>0</v>
      </c>
      <c r="S34" s="103">
        <v>0</v>
      </c>
      <c r="T34" s="92">
        <f t="shared" si="6"/>
        <v>6370456</v>
      </c>
      <c r="U34" s="94">
        <f t="shared" si="1"/>
        <v>0.6107546125096402</v>
      </c>
      <c r="V34" s="95">
        <f t="shared" si="7"/>
        <v>6493997</v>
      </c>
      <c r="W34" s="39">
        <f t="shared" si="8"/>
        <v>6493997</v>
      </c>
      <c r="X34" s="39">
        <f t="shared" si="9"/>
        <v>0</v>
      </c>
    </row>
    <row r="35" spans="1:24" s="30" customFormat="1" ht="13.5" customHeight="1">
      <c r="A35" s="101">
        <v>4.4</v>
      </c>
      <c r="B35" s="102" t="s">
        <v>73</v>
      </c>
      <c r="C35" s="92">
        <f t="shared" si="2"/>
        <v>2311864</v>
      </c>
      <c r="D35" s="54">
        <v>411625</v>
      </c>
      <c r="E35" s="103">
        <v>1900239</v>
      </c>
      <c r="F35" s="103">
        <v>500</v>
      </c>
      <c r="G35" s="103">
        <v>0</v>
      </c>
      <c r="H35" s="92">
        <f t="shared" si="4"/>
        <v>2311364</v>
      </c>
      <c r="I35" s="92">
        <f t="shared" si="10"/>
        <v>2309475</v>
      </c>
      <c r="J35" s="92">
        <f t="shared" si="5"/>
        <v>1893460</v>
      </c>
      <c r="K35" s="103">
        <v>1893460</v>
      </c>
      <c r="L35" s="103">
        <v>0</v>
      </c>
      <c r="M35" s="103">
        <v>0</v>
      </c>
      <c r="N35" s="103">
        <v>416015</v>
      </c>
      <c r="O35" s="103">
        <v>0</v>
      </c>
      <c r="P35" s="103">
        <v>0</v>
      </c>
      <c r="Q35" s="54">
        <f>H35-I35-R35-S35</f>
        <v>1889</v>
      </c>
      <c r="R35" s="103">
        <v>0</v>
      </c>
      <c r="S35" s="103">
        <v>0</v>
      </c>
      <c r="T35" s="92">
        <f t="shared" si="6"/>
        <v>417904</v>
      </c>
      <c r="U35" s="94">
        <f t="shared" si="1"/>
        <v>0.8198659868584851</v>
      </c>
      <c r="V35" s="95">
        <f t="shared" si="7"/>
        <v>2311364</v>
      </c>
      <c r="W35" s="39">
        <f t="shared" si="8"/>
        <v>2311364</v>
      </c>
      <c r="X35" s="39">
        <f t="shared" si="9"/>
        <v>0</v>
      </c>
    </row>
    <row r="36" spans="1:24" s="30" customFormat="1" ht="13.5" customHeight="1">
      <c r="A36" s="101">
        <v>4.5</v>
      </c>
      <c r="B36" s="102" t="s">
        <v>74</v>
      </c>
      <c r="C36" s="92">
        <f t="shared" si="2"/>
        <v>669759</v>
      </c>
      <c r="D36" s="54">
        <v>467261</v>
      </c>
      <c r="E36" s="103">
        <v>202498</v>
      </c>
      <c r="F36" s="103">
        <v>200</v>
      </c>
      <c r="G36" s="103">
        <v>0</v>
      </c>
      <c r="H36" s="92">
        <f t="shared" si="4"/>
        <v>669559</v>
      </c>
      <c r="I36" s="92">
        <f t="shared" si="10"/>
        <v>568809</v>
      </c>
      <c r="J36" s="92">
        <f t="shared" si="5"/>
        <v>202298</v>
      </c>
      <c r="K36" s="103">
        <v>202298</v>
      </c>
      <c r="L36" s="103">
        <v>0</v>
      </c>
      <c r="M36" s="103">
        <v>0</v>
      </c>
      <c r="N36" s="103">
        <v>366511</v>
      </c>
      <c r="O36" s="103">
        <v>0</v>
      </c>
      <c r="P36" s="103">
        <v>0</v>
      </c>
      <c r="Q36" s="54">
        <f>H36-I36-R36-S36</f>
        <v>100000</v>
      </c>
      <c r="R36" s="103">
        <v>0</v>
      </c>
      <c r="S36" s="103">
        <v>750</v>
      </c>
      <c r="T36" s="92">
        <f t="shared" si="6"/>
        <v>467261</v>
      </c>
      <c r="U36" s="94">
        <f t="shared" si="1"/>
        <v>0.35565189720978396</v>
      </c>
      <c r="V36" s="95">
        <f t="shared" si="7"/>
        <v>669559</v>
      </c>
      <c r="W36" s="39">
        <f t="shared" si="8"/>
        <v>669559</v>
      </c>
      <c r="X36" s="39">
        <f t="shared" si="9"/>
        <v>0</v>
      </c>
    </row>
    <row r="37" spans="1:24" s="30" customFormat="1" ht="13.5" customHeight="1">
      <c r="A37" s="101">
        <v>4.6</v>
      </c>
      <c r="B37" s="102" t="s">
        <v>75</v>
      </c>
      <c r="C37" s="92">
        <f t="shared" si="2"/>
        <v>29815</v>
      </c>
      <c r="D37" s="54">
        <v>0</v>
      </c>
      <c r="E37" s="103">
        <v>29815</v>
      </c>
      <c r="F37" s="103">
        <v>600</v>
      </c>
      <c r="G37" s="103">
        <v>0</v>
      </c>
      <c r="H37" s="92">
        <f t="shared" si="4"/>
        <v>29215</v>
      </c>
      <c r="I37" s="92">
        <f t="shared" si="10"/>
        <v>29215</v>
      </c>
      <c r="J37" s="92">
        <f t="shared" si="5"/>
        <v>28215</v>
      </c>
      <c r="K37" s="103">
        <v>28215</v>
      </c>
      <c r="L37" s="103">
        <v>0</v>
      </c>
      <c r="M37" s="103">
        <v>0</v>
      </c>
      <c r="N37" s="103">
        <v>1000</v>
      </c>
      <c r="O37" s="103">
        <v>0</v>
      </c>
      <c r="P37" s="103">
        <v>0</v>
      </c>
      <c r="Q37" s="54">
        <f>H37-I37-R37-S37</f>
        <v>0</v>
      </c>
      <c r="R37" s="103">
        <v>0</v>
      </c>
      <c r="S37" s="103">
        <v>0</v>
      </c>
      <c r="T37" s="92">
        <f t="shared" si="6"/>
        <v>1000</v>
      </c>
      <c r="U37" s="94">
        <f t="shared" si="1"/>
        <v>0.9657710080438131</v>
      </c>
      <c r="V37" s="95">
        <f t="shared" si="7"/>
        <v>29215</v>
      </c>
      <c r="W37" s="39">
        <f t="shared" si="8"/>
        <v>29215</v>
      </c>
      <c r="X37" s="39">
        <f t="shared" si="9"/>
        <v>0</v>
      </c>
    </row>
    <row r="38" spans="1:24" s="40" customFormat="1" ht="26.25" customHeight="1">
      <c r="A38" s="106">
        <v>5</v>
      </c>
      <c r="B38" s="97" t="s">
        <v>76</v>
      </c>
      <c r="C38" s="98">
        <f t="shared" si="2"/>
        <v>64593747</v>
      </c>
      <c r="D38" s="99">
        <f>SUM(D39:D42)</f>
        <v>15438536</v>
      </c>
      <c r="E38" s="104">
        <v>49155211</v>
      </c>
      <c r="F38" s="104">
        <v>1356797</v>
      </c>
      <c r="G38" s="104">
        <v>0</v>
      </c>
      <c r="H38" s="99">
        <f>SUM(H39:H42)</f>
        <v>63236950</v>
      </c>
      <c r="I38" s="99">
        <f>SUM(I39:I42)</f>
        <v>53287668</v>
      </c>
      <c r="J38" s="99">
        <f>SUM(J39:J42)</f>
        <v>2979114</v>
      </c>
      <c r="K38" s="104">
        <v>2860692</v>
      </c>
      <c r="L38" s="104">
        <v>118422</v>
      </c>
      <c r="M38" s="104">
        <v>0</v>
      </c>
      <c r="N38" s="104">
        <v>50308554</v>
      </c>
      <c r="O38" s="104">
        <v>0</v>
      </c>
      <c r="P38" s="105">
        <f>SUM(P39:P42)</f>
        <v>0</v>
      </c>
      <c r="Q38" s="99">
        <f>SUM(Q39:Q42)</f>
        <v>9949282</v>
      </c>
      <c r="R38" s="99">
        <f>SUM(R39:R42)</f>
        <v>0</v>
      </c>
      <c r="S38" s="105"/>
      <c r="T38" s="99">
        <f>SUM(T39:T42)</f>
        <v>60257836</v>
      </c>
      <c r="U38" s="100">
        <f t="shared" si="1"/>
        <v>0.05590625583390138</v>
      </c>
      <c r="V38" s="95">
        <f t="shared" si="7"/>
        <v>63236950</v>
      </c>
      <c r="W38" s="39">
        <f t="shared" si="8"/>
        <v>63236950</v>
      </c>
      <c r="X38" s="39">
        <f t="shared" si="9"/>
        <v>0</v>
      </c>
    </row>
    <row r="39" spans="1:24" s="30" customFormat="1" ht="15" customHeight="1">
      <c r="A39" s="101">
        <v>5.1</v>
      </c>
      <c r="B39" s="102" t="s">
        <v>77</v>
      </c>
      <c r="C39" s="92">
        <f>D39+E39</f>
        <v>1790801</v>
      </c>
      <c r="D39" s="136">
        <f>1237202</f>
        <v>1237202</v>
      </c>
      <c r="E39" s="103">
        <v>553599</v>
      </c>
      <c r="F39" s="103">
        <v>2599</v>
      </c>
      <c r="G39" s="103">
        <v>0</v>
      </c>
      <c r="H39" s="92">
        <f>C39-G39-F39</f>
        <v>1788202</v>
      </c>
      <c r="I39" s="92">
        <f t="shared" si="10"/>
        <v>917824</v>
      </c>
      <c r="J39" s="92">
        <f t="shared" si="5"/>
        <v>321701</v>
      </c>
      <c r="K39" s="103">
        <v>304429</v>
      </c>
      <c r="L39" s="103">
        <v>17272</v>
      </c>
      <c r="M39" s="103">
        <v>0</v>
      </c>
      <c r="N39" s="103">
        <v>596123</v>
      </c>
      <c r="O39" s="103">
        <v>0</v>
      </c>
      <c r="P39" s="103">
        <v>0</v>
      </c>
      <c r="Q39" s="54">
        <f>H39-I39-R39-S39</f>
        <v>870378</v>
      </c>
      <c r="R39" s="103">
        <v>0</v>
      </c>
      <c r="S39" s="103">
        <v>0</v>
      </c>
      <c r="T39" s="92">
        <f t="shared" si="6"/>
        <v>1466501</v>
      </c>
      <c r="U39" s="94">
        <f t="shared" si="1"/>
        <v>0.35050401819956767</v>
      </c>
      <c r="V39" s="95">
        <f>IF(H39=C39-F39-G39,H39,"KT lai")</f>
        <v>1788202</v>
      </c>
      <c r="W39" s="39">
        <f t="shared" si="8"/>
        <v>1788202</v>
      </c>
      <c r="X39" s="39">
        <f t="shared" si="9"/>
        <v>0</v>
      </c>
    </row>
    <row r="40" spans="1:24" s="30" customFormat="1" ht="18" customHeight="1">
      <c r="A40" s="101">
        <v>5.2</v>
      </c>
      <c r="B40" s="102" t="s">
        <v>78</v>
      </c>
      <c r="C40" s="92">
        <f>D40+E40</f>
        <v>102197</v>
      </c>
      <c r="D40" s="136">
        <v>11412</v>
      </c>
      <c r="E40" s="103">
        <v>90785</v>
      </c>
      <c r="F40" s="103">
        <v>0</v>
      </c>
      <c r="G40" s="103">
        <v>0</v>
      </c>
      <c r="H40" s="92">
        <f>C40-G40-F40</f>
        <v>102197</v>
      </c>
      <c r="I40" s="92">
        <f t="shared" si="10"/>
        <v>102197</v>
      </c>
      <c r="J40" s="92">
        <f>K40+L40+M40</f>
        <v>95185</v>
      </c>
      <c r="K40" s="103">
        <v>58565</v>
      </c>
      <c r="L40" s="103">
        <v>36620</v>
      </c>
      <c r="M40" s="103">
        <v>0</v>
      </c>
      <c r="N40" s="103">
        <v>7012</v>
      </c>
      <c r="O40" s="103">
        <v>0</v>
      </c>
      <c r="P40" s="103">
        <v>0</v>
      </c>
      <c r="Q40" s="54">
        <f>H40-I40-R40-S40</f>
        <v>0</v>
      </c>
      <c r="R40" s="103">
        <v>0</v>
      </c>
      <c r="S40" s="103">
        <v>0</v>
      </c>
      <c r="T40" s="92">
        <f>SUM(N40:S40)</f>
        <v>7012</v>
      </c>
      <c r="U40" s="94">
        <f>IF(I40&lt;&gt;0,J40/I40,"")</f>
        <v>0.9313874184173704</v>
      </c>
      <c r="V40" s="95">
        <f>IF(H40=C40-F40-G40,H40,"KT lai")</f>
        <v>102197</v>
      </c>
      <c r="W40" s="39">
        <f>I40+Q40+R40+S40</f>
        <v>102197</v>
      </c>
      <c r="X40" s="39">
        <f>V40-W40</f>
        <v>0</v>
      </c>
    </row>
    <row r="41" spans="1:24" s="30" customFormat="1" ht="15" customHeight="1">
      <c r="A41" s="101">
        <v>5.3</v>
      </c>
      <c r="B41" s="102" t="s">
        <v>79</v>
      </c>
      <c r="C41" s="92">
        <f>D41+E41</f>
        <v>7056884</v>
      </c>
      <c r="D41" s="136">
        <v>494727</v>
      </c>
      <c r="E41" s="103">
        <v>6562157</v>
      </c>
      <c r="F41" s="103">
        <v>200</v>
      </c>
      <c r="G41" s="103">
        <v>0</v>
      </c>
      <c r="H41" s="92">
        <f>C41-G41-F41</f>
        <v>7056684</v>
      </c>
      <c r="I41" s="92">
        <f t="shared" si="10"/>
        <v>6858528</v>
      </c>
      <c r="J41" s="92">
        <f>K41+L41+M41</f>
        <v>217300</v>
      </c>
      <c r="K41" s="103">
        <v>210230</v>
      </c>
      <c r="L41" s="103">
        <v>7070</v>
      </c>
      <c r="M41" s="103">
        <v>0</v>
      </c>
      <c r="N41" s="103">
        <v>6641228</v>
      </c>
      <c r="O41" s="103">
        <v>0</v>
      </c>
      <c r="P41" s="103">
        <v>0</v>
      </c>
      <c r="Q41" s="54">
        <f>H41-I41-R41-S41</f>
        <v>198156</v>
      </c>
      <c r="R41" s="103"/>
      <c r="S41" s="103">
        <v>0</v>
      </c>
      <c r="T41" s="92">
        <f>SUM(N41:S41)</f>
        <v>6839384</v>
      </c>
      <c r="U41" s="94">
        <f>IF(I41&lt;&gt;0,J41/I41,"")</f>
        <v>0.03168318333030061</v>
      </c>
      <c r="V41" s="95"/>
      <c r="W41" s="39"/>
      <c r="X41" s="39"/>
    </row>
    <row r="42" spans="1:24" s="30" customFormat="1" ht="18" customHeight="1">
      <c r="A42" s="101">
        <v>5.4</v>
      </c>
      <c r="B42" s="102" t="s">
        <v>80</v>
      </c>
      <c r="C42" s="92">
        <f>D42+E42</f>
        <v>55643865</v>
      </c>
      <c r="D42" s="54">
        <v>13695195</v>
      </c>
      <c r="E42" s="103">
        <v>41948670</v>
      </c>
      <c r="F42" s="103">
        <v>1353998</v>
      </c>
      <c r="G42" s="103">
        <v>0</v>
      </c>
      <c r="H42" s="92">
        <f>C42-G42-F42</f>
        <v>54289867</v>
      </c>
      <c r="I42" s="92">
        <f t="shared" si="10"/>
        <v>45409119</v>
      </c>
      <c r="J42" s="92">
        <f>K42+L42+M42</f>
        <v>2344928</v>
      </c>
      <c r="K42" s="103">
        <v>2287468</v>
      </c>
      <c r="L42" s="103">
        <v>57460</v>
      </c>
      <c r="M42" s="103">
        <v>0</v>
      </c>
      <c r="N42" s="103">
        <v>43064191</v>
      </c>
      <c r="O42" s="103">
        <v>0</v>
      </c>
      <c r="P42" s="103">
        <v>0</v>
      </c>
      <c r="Q42" s="54">
        <f>H42-I42-R42-S42</f>
        <v>8880748</v>
      </c>
      <c r="R42" s="103">
        <v>0</v>
      </c>
      <c r="S42" s="103">
        <v>0</v>
      </c>
      <c r="T42" s="92">
        <f t="shared" si="6"/>
        <v>51944939</v>
      </c>
      <c r="U42" s="94">
        <f t="shared" si="1"/>
        <v>0.05164002411057567</v>
      </c>
      <c r="V42" s="95">
        <f>IF(H42=C42-F42-G42,H42,"KT lai")</f>
        <v>54289867</v>
      </c>
      <c r="W42" s="39">
        <f t="shared" si="8"/>
        <v>54289867</v>
      </c>
      <c r="X42" s="39">
        <f t="shared" si="9"/>
        <v>0</v>
      </c>
    </row>
    <row r="43" spans="1:24" s="40" customFormat="1" ht="27" customHeight="1">
      <c r="A43" s="106">
        <v>6</v>
      </c>
      <c r="B43" s="97" t="s">
        <v>81</v>
      </c>
      <c r="C43" s="98">
        <f t="shared" si="2"/>
        <v>84642622</v>
      </c>
      <c r="D43" s="99">
        <f>SUM(D44:D47)</f>
        <v>65982852</v>
      </c>
      <c r="E43" s="104">
        <v>18659770</v>
      </c>
      <c r="F43" s="104">
        <v>71963</v>
      </c>
      <c r="G43" s="104">
        <v>0</v>
      </c>
      <c r="H43" s="99">
        <f>SUM(H44:H47)</f>
        <v>84570659</v>
      </c>
      <c r="I43" s="99">
        <f>SUM(I44:I47)</f>
        <v>44034875</v>
      </c>
      <c r="J43" s="99">
        <f>SUM(J44:J47)</f>
        <v>15297264</v>
      </c>
      <c r="K43" s="104">
        <v>7361748</v>
      </c>
      <c r="L43" s="104">
        <v>7843602</v>
      </c>
      <c r="M43" s="104">
        <v>91914</v>
      </c>
      <c r="N43" s="104">
        <v>28737611</v>
      </c>
      <c r="O43" s="104">
        <v>0</v>
      </c>
      <c r="P43" s="105">
        <f>SUM(P44:P47)</f>
        <v>0</v>
      </c>
      <c r="Q43" s="99">
        <f>SUM(Q44:Q47)</f>
        <v>40535784</v>
      </c>
      <c r="R43" s="99">
        <f>SUM(R44:R47)</f>
        <v>0</v>
      </c>
      <c r="S43" s="105">
        <f>SUM(S44:S47)</f>
        <v>0</v>
      </c>
      <c r="T43" s="99">
        <f>SUM(T44:T47)</f>
        <v>69273395</v>
      </c>
      <c r="U43" s="100">
        <f t="shared" si="1"/>
        <v>0.34738974506002346</v>
      </c>
      <c r="V43" s="95">
        <f t="shared" si="7"/>
        <v>84570659</v>
      </c>
      <c r="W43" s="39">
        <f t="shared" si="8"/>
        <v>84570659</v>
      </c>
      <c r="X43" s="39">
        <f t="shared" si="9"/>
        <v>0</v>
      </c>
    </row>
    <row r="44" spans="1:24" s="30" customFormat="1" ht="13.5" customHeight="1">
      <c r="A44" s="101">
        <v>6.1</v>
      </c>
      <c r="B44" s="102" t="s">
        <v>82</v>
      </c>
      <c r="C44" s="92">
        <f t="shared" si="2"/>
        <v>50187109</v>
      </c>
      <c r="D44" s="137">
        <v>44089640</v>
      </c>
      <c r="E44" s="103">
        <v>6097469</v>
      </c>
      <c r="F44" s="103">
        <v>9963</v>
      </c>
      <c r="G44" s="103">
        <v>0</v>
      </c>
      <c r="H44" s="92">
        <f t="shared" si="4"/>
        <v>50177146</v>
      </c>
      <c r="I44" s="92">
        <f t="shared" si="10"/>
        <v>18715898</v>
      </c>
      <c r="J44" s="92">
        <f t="shared" si="5"/>
        <v>3257351</v>
      </c>
      <c r="K44" s="103">
        <v>2982791</v>
      </c>
      <c r="L44" s="103">
        <v>235894</v>
      </c>
      <c r="M44" s="103">
        <v>38666</v>
      </c>
      <c r="N44" s="103">
        <v>15458547</v>
      </c>
      <c r="O44" s="103">
        <v>0</v>
      </c>
      <c r="P44" s="103">
        <v>0</v>
      </c>
      <c r="Q44" s="138">
        <f>H44-I44-R44-S44</f>
        <v>31461248</v>
      </c>
      <c r="R44" s="103">
        <v>0</v>
      </c>
      <c r="S44" s="103">
        <v>0</v>
      </c>
      <c r="T44" s="92">
        <f t="shared" si="6"/>
        <v>46919795</v>
      </c>
      <c r="U44" s="94">
        <f t="shared" si="1"/>
        <v>0.1740419294868993</v>
      </c>
      <c r="V44" s="95">
        <f t="shared" si="7"/>
        <v>50177146</v>
      </c>
      <c r="W44" s="39">
        <f t="shared" si="8"/>
        <v>50177146</v>
      </c>
      <c r="X44" s="39">
        <f t="shared" si="9"/>
        <v>0</v>
      </c>
    </row>
    <row r="45" spans="1:24" s="30" customFormat="1" ht="13.5" customHeight="1">
      <c r="A45" s="101">
        <v>6.3</v>
      </c>
      <c r="B45" s="102" t="s">
        <v>83</v>
      </c>
      <c r="C45" s="92">
        <f t="shared" si="2"/>
        <v>21386491</v>
      </c>
      <c r="D45" s="137">
        <v>10009088</v>
      </c>
      <c r="E45" s="103">
        <v>11377403</v>
      </c>
      <c r="F45" s="103">
        <v>2200</v>
      </c>
      <c r="G45" s="103">
        <v>0</v>
      </c>
      <c r="H45" s="92">
        <f t="shared" si="4"/>
        <v>21384291</v>
      </c>
      <c r="I45" s="92">
        <f t="shared" si="10"/>
        <v>19457583</v>
      </c>
      <c r="J45" s="92">
        <f t="shared" si="5"/>
        <v>11502754</v>
      </c>
      <c r="K45" s="103">
        <v>3916725</v>
      </c>
      <c r="L45" s="103">
        <v>7551100</v>
      </c>
      <c r="M45" s="103">
        <v>34929</v>
      </c>
      <c r="N45" s="103">
        <v>7954829</v>
      </c>
      <c r="O45" s="103">
        <v>0</v>
      </c>
      <c r="P45" s="103">
        <v>0</v>
      </c>
      <c r="Q45" s="138">
        <f>H45-I45-R45-S45</f>
        <v>1926708</v>
      </c>
      <c r="R45" s="103">
        <v>0</v>
      </c>
      <c r="S45" s="103">
        <v>0</v>
      </c>
      <c r="T45" s="92">
        <f t="shared" si="6"/>
        <v>9881537</v>
      </c>
      <c r="U45" s="94">
        <f t="shared" si="1"/>
        <v>0.5911707533253231</v>
      </c>
      <c r="V45" s="95">
        <f t="shared" si="7"/>
        <v>21384291</v>
      </c>
      <c r="W45" s="39">
        <f t="shared" si="8"/>
        <v>21384291</v>
      </c>
      <c r="X45" s="39">
        <f t="shared" si="9"/>
        <v>0</v>
      </c>
    </row>
    <row r="46" spans="1:24" s="30" customFormat="1" ht="13.5" customHeight="1">
      <c r="A46" s="101">
        <v>6.4</v>
      </c>
      <c r="B46" s="102" t="s">
        <v>84</v>
      </c>
      <c r="C46" s="92">
        <f t="shared" si="2"/>
        <v>7635927</v>
      </c>
      <c r="D46" s="137">
        <v>6485579</v>
      </c>
      <c r="E46" s="103">
        <v>1150348</v>
      </c>
      <c r="F46" s="103">
        <v>59200</v>
      </c>
      <c r="G46" s="103">
        <v>0</v>
      </c>
      <c r="H46" s="92">
        <f t="shared" si="4"/>
        <v>7576727</v>
      </c>
      <c r="I46" s="92">
        <f t="shared" si="10"/>
        <v>5827444</v>
      </c>
      <c r="J46" s="92">
        <f t="shared" si="5"/>
        <v>508929</v>
      </c>
      <c r="K46" s="103">
        <v>434002</v>
      </c>
      <c r="L46" s="103">
        <v>56608</v>
      </c>
      <c r="M46" s="103">
        <v>18319</v>
      </c>
      <c r="N46" s="103">
        <v>5318515</v>
      </c>
      <c r="O46" s="103">
        <v>0</v>
      </c>
      <c r="P46" s="103">
        <v>0</v>
      </c>
      <c r="Q46" s="138">
        <f>H46-I46-R46-S46</f>
        <v>1749283</v>
      </c>
      <c r="R46" s="103">
        <v>0</v>
      </c>
      <c r="S46" s="103">
        <v>0</v>
      </c>
      <c r="T46" s="92">
        <f t="shared" si="6"/>
        <v>7067798</v>
      </c>
      <c r="U46" s="94">
        <f t="shared" si="1"/>
        <v>0.08733314296971365</v>
      </c>
      <c r="V46" s="95">
        <f t="shared" si="7"/>
        <v>7576727</v>
      </c>
      <c r="W46" s="39">
        <f t="shared" si="8"/>
        <v>7576727</v>
      </c>
      <c r="X46" s="39">
        <f t="shared" si="9"/>
        <v>0</v>
      </c>
    </row>
    <row r="47" spans="1:24" s="30" customFormat="1" ht="13.5" customHeight="1">
      <c r="A47" s="101">
        <v>6.5</v>
      </c>
      <c r="B47" s="102" t="s">
        <v>85</v>
      </c>
      <c r="C47" s="92">
        <f t="shared" si="2"/>
        <v>5433095</v>
      </c>
      <c r="D47" s="139">
        <v>5398545</v>
      </c>
      <c r="E47" s="103">
        <v>34550</v>
      </c>
      <c r="F47" s="103">
        <v>600</v>
      </c>
      <c r="G47" s="103">
        <v>0</v>
      </c>
      <c r="H47" s="92">
        <f t="shared" si="4"/>
        <v>5432495</v>
      </c>
      <c r="I47" s="92">
        <f t="shared" si="10"/>
        <v>33950</v>
      </c>
      <c r="J47" s="92">
        <f t="shared" si="5"/>
        <v>28230</v>
      </c>
      <c r="K47" s="103">
        <v>28230</v>
      </c>
      <c r="L47" s="103">
        <v>0</v>
      </c>
      <c r="M47" s="103">
        <v>0</v>
      </c>
      <c r="N47" s="103">
        <v>5720</v>
      </c>
      <c r="O47" s="103">
        <v>0</v>
      </c>
      <c r="P47" s="103">
        <v>0</v>
      </c>
      <c r="Q47" s="138">
        <f>H47-I47-R47-S47</f>
        <v>5398545</v>
      </c>
      <c r="R47" s="103">
        <v>0</v>
      </c>
      <c r="S47" s="103">
        <v>0</v>
      </c>
      <c r="T47" s="92">
        <f t="shared" si="6"/>
        <v>5404265</v>
      </c>
      <c r="U47" s="94">
        <f t="shared" si="1"/>
        <v>0.8315169366715759</v>
      </c>
      <c r="V47" s="95">
        <f t="shared" si="7"/>
        <v>5432495</v>
      </c>
      <c r="W47" s="39">
        <f t="shared" si="8"/>
        <v>5432495</v>
      </c>
      <c r="X47" s="39">
        <f t="shared" si="9"/>
        <v>0</v>
      </c>
    </row>
    <row r="48" spans="1:21" ht="21" customHeight="1">
      <c r="A48" s="147"/>
      <c r="B48" s="148"/>
      <c r="C48" s="148"/>
      <c r="D48" s="148"/>
      <c r="E48" s="148"/>
      <c r="F48" s="58"/>
      <c r="G48" s="58"/>
      <c r="H48" s="58"/>
      <c r="I48" s="59"/>
      <c r="J48" s="59"/>
      <c r="K48" s="59"/>
      <c r="L48" s="59"/>
      <c r="M48" s="59"/>
      <c r="N48" s="149" t="s">
        <v>118</v>
      </c>
      <c r="O48" s="150"/>
      <c r="P48" s="150"/>
      <c r="Q48" s="150"/>
      <c r="R48" s="150"/>
      <c r="S48" s="150"/>
      <c r="T48" s="150"/>
      <c r="U48" s="150"/>
    </row>
    <row r="49" spans="1:21" ht="21" customHeight="1">
      <c r="A49" s="151" t="s">
        <v>86</v>
      </c>
      <c r="B49" s="152"/>
      <c r="C49" s="152"/>
      <c r="D49" s="152"/>
      <c r="E49" s="152"/>
      <c r="F49" s="63"/>
      <c r="G49" s="63"/>
      <c r="H49" s="63"/>
      <c r="I49" s="64"/>
      <c r="J49" s="64"/>
      <c r="K49" s="64"/>
      <c r="L49" s="64"/>
      <c r="M49" s="64"/>
      <c r="N49" s="153" t="str">
        <f>'[3]TT'!C5</f>
        <v>PHÓ CỤC TRƯỞNG</v>
      </c>
      <c r="O49" s="153"/>
      <c r="P49" s="153"/>
      <c r="Q49" s="153"/>
      <c r="R49" s="153"/>
      <c r="S49" s="153"/>
      <c r="T49" s="153"/>
      <c r="U49" s="153"/>
    </row>
    <row r="50" spans="1:21" ht="66.75" customHeight="1">
      <c r="A50" s="66"/>
      <c r="B50" s="66"/>
      <c r="C50" s="66"/>
      <c r="D50" s="66"/>
      <c r="E50" s="66"/>
      <c r="F50" s="68"/>
      <c r="G50" s="68"/>
      <c r="H50" s="68"/>
      <c r="I50" s="64"/>
      <c r="J50" s="64"/>
      <c r="K50" s="64"/>
      <c r="L50" s="64"/>
      <c r="M50" s="64"/>
      <c r="N50" s="64"/>
      <c r="O50" s="64"/>
      <c r="P50" s="68"/>
      <c r="Q50" s="107"/>
      <c r="R50" s="68"/>
      <c r="S50" s="64"/>
      <c r="T50" s="71"/>
      <c r="U50" s="71"/>
    </row>
    <row r="51" spans="1:21" ht="21" customHeight="1">
      <c r="A51" s="142" t="str">
        <f>'[1]TT'!C6</f>
        <v>TRẦN ĐỨC TOẢN</v>
      </c>
      <c r="B51" s="142"/>
      <c r="C51" s="142"/>
      <c r="D51" s="142"/>
      <c r="E51" s="142"/>
      <c r="F51" s="72" t="s">
        <v>45</v>
      </c>
      <c r="G51" s="72"/>
      <c r="H51" s="72"/>
      <c r="I51" s="72"/>
      <c r="J51" s="72"/>
      <c r="K51" s="72"/>
      <c r="L51" s="72"/>
      <c r="M51" s="72"/>
      <c r="N51" s="143" t="str">
        <f>'[3]TT'!C3</f>
        <v>Vũ Ngọc Phương</v>
      </c>
      <c r="O51" s="143"/>
      <c r="P51" s="143"/>
      <c r="Q51" s="143"/>
      <c r="R51" s="143"/>
      <c r="S51" s="143"/>
      <c r="T51" s="143"/>
      <c r="U51" s="143"/>
    </row>
    <row r="52" ht="21" customHeight="1"/>
    <row r="53" ht="21" customHeight="1"/>
  </sheetData>
  <sheetProtection formatCells="0" formatColumns="0" formatRows="0" insertRows="0" deleteRows="0"/>
  <mergeCells count="34">
    <mergeCell ref="A1:D1"/>
    <mergeCell ref="E1:O1"/>
    <mergeCell ref="P1:U1"/>
    <mergeCell ref="P2:U2"/>
    <mergeCell ref="A3:A7"/>
    <mergeCell ref="B3:B7"/>
    <mergeCell ref="C3:C7"/>
    <mergeCell ref="D3:E3"/>
    <mergeCell ref="F3:F7"/>
    <mergeCell ref="G3:G7"/>
    <mergeCell ref="H3:H7"/>
    <mergeCell ref="I3:S3"/>
    <mergeCell ref="T3:T7"/>
    <mergeCell ref="U3:U7"/>
    <mergeCell ref="D4:D7"/>
    <mergeCell ref="E4:E7"/>
    <mergeCell ref="I4:I7"/>
    <mergeCell ref="J4:P4"/>
    <mergeCell ref="Q4:Q7"/>
    <mergeCell ref="R4:R7"/>
    <mergeCell ref="S4:S7"/>
    <mergeCell ref="J5:J7"/>
    <mergeCell ref="K5:M6"/>
    <mergeCell ref="N5:N7"/>
    <mergeCell ref="O5:O7"/>
    <mergeCell ref="P5:P7"/>
    <mergeCell ref="A51:E51"/>
    <mergeCell ref="N51:U51"/>
    <mergeCell ref="A8:B8"/>
    <mergeCell ref="A9:B9"/>
    <mergeCell ref="A48:E48"/>
    <mergeCell ref="N48:U48"/>
    <mergeCell ref="A49:E49"/>
    <mergeCell ref="N49:U49"/>
  </mergeCells>
  <printOptions/>
  <pageMargins left="0.38" right="0.3" top="0.39" bottom="0.42" header="0.31496062992126" footer="0.31496062992126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view="pageBreakPreview" zoomScaleSheetLayoutView="100" zoomScalePageLayoutView="0" workbookViewId="0" topLeftCell="A4">
      <selection activeCell="P7" sqref="P7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  <col min="9" max="9" width="10.375" style="0" customWidth="1"/>
    <col min="10" max="10" width="13.75390625" style="0" customWidth="1"/>
    <col min="16" max="16" width="12.125" style="0" bestFit="1" customWidth="1"/>
  </cols>
  <sheetData>
    <row r="1" spans="1:8" s="108" customFormat="1" ht="21.75" customHeight="1">
      <c r="A1" s="195" t="s">
        <v>92</v>
      </c>
      <c r="B1" s="195"/>
      <c r="C1" s="195"/>
      <c r="D1" s="195"/>
      <c r="E1" s="195"/>
      <c r="F1" s="195"/>
      <c r="G1" s="195"/>
      <c r="H1" s="195"/>
    </row>
    <row r="2" spans="1:8" s="108" customFormat="1" ht="21.75" customHeight="1">
      <c r="A2" s="196" t="str">
        <f>'[3]TT'!C4</f>
        <v>Hà Nam, ngày 01 tháng 4 năm 2021</v>
      </c>
      <c r="B2" s="197"/>
      <c r="C2" s="197"/>
      <c r="D2" s="197"/>
      <c r="E2" s="197"/>
      <c r="F2" s="197"/>
      <c r="G2" s="197"/>
      <c r="H2" s="197"/>
    </row>
    <row r="3" spans="6:8" ht="21" customHeight="1">
      <c r="F3" s="198" t="s">
        <v>93</v>
      </c>
      <c r="G3" s="198"/>
      <c r="H3" s="198"/>
    </row>
    <row r="4" spans="1:8" ht="15.75">
      <c r="A4" s="199" t="s">
        <v>94</v>
      </c>
      <c r="B4" s="199" t="s">
        <v>95</v>
      </c>
      <c r="C4" s="201" t="s">
        <v>96</v>
      </c>
      <c r="D4" s="201"/>
      <c r="E4" s="202"/>
      <c r="F4" s="203" t="s">
        <v>97</v>
      </c>
      <c r="G4" s="203"/>
      <c r="H4" s="203"/>
    </row>
    <row r="5" spans="1:8" ht="95.25" customHeight="1">
      <c r="A5" s="200"/>
      <c r="B5" s="200"/>
      <c r="C5" s="109" t="s">
        <v>98</v>
      </c>
      <c r="D5" s="110" t="s">
        <v>99</v>
      </c>
      <c r="E5" s="111" t="s">
        <v>100</v>
      </c>
      <c r="F5" s="109" t="s">
        <v>98</v>
      </c>
      <c r="G5" s="110" t="s">
        <v>99</v>
      </c>
      <c r="H5" s="112" t="s">
        <v>100</v>
      </c>
    </row>
    <row r="6" spans="1:16" ht="15.75">
      <c r="A6" s="113" t="s">
        <v>46</v>
      </c>
      <c r="B6" s="114" t="s">
        <v>101</v>
      </c>
      <c r="C6" s="115">
        <f aca="true" t="shared" si="0" ref="C6:H6">SUM(C7:C19)</f>
        <v>841</v>
      </c>
      <c r="D6" s="115">
        <f t="shared" si="0"/>
        <v>554</v>
      </c>
      <c r="E6" s="116">
        <f t="shared" si="0"/>
        <v>256</v>
      </c>
      <c r="F6" s="115">
        <f t="shared" si="0"/>
        <v>25767884</v>
      </c>
      <c r="G6" s="115">
        <f t="shared" si="0"/>
        <v>18217571</v>
      </c>
      <c r="H6" s="115">
        <f t="shared" si="0"/>
        <v>6211918</v>
      </c>
      <c r="I6" s="117">
        <f>+F6+F20</f>
        <v>808826496</v>
      </c>
      <c r="J6" s="118">
        <f>'[4]PLChuaDieuKien'!$I$6</f>
        <v>808826496</v>
      </c>
      <c r="K6" s="118">
        <f>C6+C20</f>
        <v>1063</v>
      </c>
      <c r="L6" s="118">
        <f>D6+D20</f>
        <v>629</v>
      </c>
      <c r="M6" s="118">
        <f>E6+E20</f>
        <v>271</v>
      </c>
      <c r="N6" s="118">
        <f>L6-L7</f>
        <v>256</v>
      </c>
      <c r="P6" s="118">
        <f>H6+H20</f>
        <v>11560839</v>
      </c>
    </row>
    <row r="7" spans="1:16" ht="15.75">
      <c r="A7" s="119" t="s">
        <v>25</v>
      </c>
      <c r="B7" s="120" t="s">
        <v>102</v>
      </c>
      <c r="C7" s="121">
        <f>E7+'[3]01'!E11</f>
        <v>131</v>
      </c>
      <c r="D7" s="122">
        <f>E7+'[3]01'!Q11</f>
        <v>60</v>
      </c>
      <c r="E7" s="123">
        <v>29</v>
      </c>
      <c r="F7" s="121">
        <f>H7+'[3]02'!D11</f>
        <v>2092248</v>
      </c>
      <c r="G7" s="121">
        <f>H7+'[3]02'!Q11</f>
        <v>1201879</v>
      </c>
      <c r="H7" s="124">
        <f>262621</f>
        <v>262621</v>
      </c>
      <c r="J7" s="118">
        <f>I6-J6</f>
        <v>0</v>
      </c>
      <c r="K7" s="118">
        <f aca="true" t="shared" si="1" ref="K7:K33">C7+C21</f>
        <v>243</v>
      </c>
      <c r="L7">
        <v>373</v>
      </c>
      <c r="M7">
        <f>L7-270</f>
        <v>103</v>
      </c>
      <c r="P7" s="118">
        <f>P6+'05'!Q9</f>
        <v>249642025</v>
      </c>
    </row>
    <row r="8" spans="1:11" ht="15.75">
      <c r="A8" s="119" t="s">
        <v>26</v>
      </c>
      <c r="B8" s="125" t="s">
        <v>103</v>
      </c>
      <c r="C8" s="121">
        <f>E8+'[3]01'!E12</f>
        <v>37</v>
      </c>
      <c r="D8" s="122">
        <f>E8+'[3]01'!Q12</f>
        <v>14</v>
      </c>
      <c r="E8" s="123">
        <v>4</v>
      </c>
      <c r="F8" s="121">
        <f>H8+'[3]02'!D12</f>
        <v>2504300</v>
      </c>
      <c r="G8" s="121">
        <f>H8+'[3]02'!Q12</f>
        <v>671380</v>
      </c>
      <c r="H8" s="124">
        <v>325627</v>
      </c>
      <c r="J8" s="126"/>
      <c r="K8" s="118">
        <f t="shared" si="1"/>
        <v>65</v>
      </c>
    </row>
    <row r="9" spans="1:12" ht="15.75">
      <c r="A9" s="119" t="s">
        <v>27</v>
      </c>
      <c r="B9" s="125" t="s">
        <v>104</v>
      </c>
      <c r="C9" s="121">
        <f>E9+'[3]01'!E13</f>
        <v>0</v>
      </c>
      <c r="D9" s="122">
        <f>E9+'[3]01'!Q13</f>
        <v>0</v>
      </c>
      <c r="E9" s="123">
        <v>0</v>
      </c>
      <c r="F9" s="121">
        <f>H9+'[3]02'!D13</f>
        <v>0</v>
      </c>
      <c r="G9" s="121">
        <f>H9+'[3]02'!Q13</f>
        <v>0</v>
      </c>
      <c r="H9" s="124">
        <v>0</v>
      </c>
      <c r="K9" s="118">
        <f t="shared" si="1"/>
        <v>0</v>
      </c>
      <c r="L9" s="118">
        <f>+L6-L7</f>
        <v>256</v>
      </c>
    </row>
    <row r="10" spans="1:11" ht="15.75">
      <c r="A10" s="119" t="s">
        <v>28</v>
      </c>
      <c r="B10" s="120" t="s">
        <v>105</v>
      </c>
      <c r="C10" s="121">
        <f>E10+'[3]01'!E14</f>
        <v>0</v>
      </c>
      <c r="D10" s="122">
        <f>E10+'[3]01'!Q14</f>
        <v>0</v>
      </c>
      <c r="E10" s="123">
        <v>0</v>
      </c>
      <c r="F10" s="121">
        <f>H10+'[3]02'!D14</f>
        <v>0</v>
      </c>
      <c r="G10" s="121">
        <f>H10+'[3]02'!Q14</f>
        <v>0</v>
      </c>
      <c r="H10" s="124">
        <v>0</v>
      </c>
      <c r="K10" s="118">
        <f t="shared" si="1"/>
        <v>0</v>
      </c>
    </row>
    <row r="11" spans="1:11" ht="25.5">
      <c r="A11" s="119" t="s">
        <v>29</v>
      </c>
      <c r="B11" s="127" t="s">
        <v>106</v>
      </c>
      <c r="C11" s="121">
        <f>E11+'[3]01'!E15</f>
        <v>0</v>
      </c>
      <c r="D11" s="122">
        <f>E11+'[3]01'!Q15</f>
        <v>0</v>
      </c>
      <c r="E11" s="123">
        <v>0</v>
      </c>
      <c r="F11" s="121">
        <f>H11+'[3]02'!D15</f>
        <v>0</v>
      </c>
      <c r="G11" s="121">
        <f>H11+'[3]02'!Q15</f>
        <v>0</v>
      </c>
      <c r="H11" s="124">
        <v>0</v>
      </c>
      <c r="K11" s="118">
        <f t="shared" si="1"/>
        <v>0</v>
      </c>
    </row>
    <row r="12" spans="1:16" ht="15.75">
      <c r="A12" s="119" t="s">
        <v>30</v>
      </c>
      <c r="B12" s="120" t="s">
        <v>107</v>
      </c>
      <c r="C12" s="121">
        <v>607</v>
      </c>
      <c r="D12" s="122">
        <v>445</v>
      </c>
      <c r="E12" s="123">
        <v>212</v>
      </c>
      <c r="F12" s="121">
        <f>H12+'[3]02'!D16</f>
        <v>15004904</v>
      </c>
      <c r="G12" s="121">
        <f>H12+'[3]02'!Q16</f>
        <v>10562900</v>
      </c>
      <c r="H12" s="124"/>
      <c r="K12" s="118">
        <f t="shared" si="1"/>
        <v>644</v>
      </c>
      <c r="P12" s="126">
        <f>'[5]07'!$R$14</f>
        <v>125451577</v>
      </c>
    </row>
    <row r="13" spans="1:11" ht="15.75">
      <c r="A13" s="119" t="s">
        <v>31</v>
      </c>
      <c r="B13" s="120" t="s">
        <v>108</v>
      </c>
      <c r="C13" s="121">
        <f>E13+'[3]01'!E17</f>
        <v>2</v>
      </c>
      <c r="D13" s="122">
        <f>E13+'[3]01'!Q17</f>
        <v>1</v>
      </c>
      <c r="E13" s="123">
        <v>0</v>
      </c>
      <c r="F13" s="121">
        <f>H13+'[3]02'!D17</f>
        <v>5065</v>
      </c>
      <c r="G13" s="121">
        <f>H13+'[3]02'!Q17</f>
        <v>2715</v>
      </c>
      <c r="H13" s="124">
        <v>0</v>
      </c>
      <c r="K13" s="118">
        <f t="shared" si="1"/>
        <v>2</v>
      </c>
    </row>
    <row r="14" spans="1:11" ht="15.75">
      <c r="A14" s="119" t="s">
        <v>32</v>
      </c>
      <c r="B14" s="120" t="s">
        <v>109</v>
      </c>
      <c r="C14" s="121">
        <f>E14+'[3]01'!E18</f>
        <v>58</v>
      </c>
      <c r="D14" s="122">
        <v>32</v>
      </c>
      <c r="E14" s="123">
        <v>10</v>
      </c>
      <c r="F14" s="121">
        <f>H14+'[3]02'!D18</f>
        <v>568142</v>
      </c>
      <c r="G14" s="121">
        <f>H14+'[3]02'!Q18</f>
        <v>206777</v>
      </c>
      <c r="H14" s="124">
        <v>70688</v>
      </c>
      <c r="K14" s="118">
        <f t="shared" si="1"/>
        <v>101</v>
      </c>
    </row>
    <row r="15" spans="1:11" ht="15.75">
      <c r="A15" s="119" t="s">
        <v>33</v>
      </c>
      <c r="B15" s="120" t="s">
        <v>110</v>
      </c>
      <c r="C15" s="121">
        <f>E15+'[3]01'!E19</f>
        <v>1</v>
      </c>
      <c r="D15" s="122">
        <f>E15+'[3]01'!Q19</f>
        <v>0</v>
      </c>
      <c r="E15" s="123">
        <v>0</v>
      </c>
      <c r="F15" s="121">
        <f>H15+'[3]02'!D19</f>
        <v>17710</v>
      </c>
      <c r="G15" s="121">
        <f>H15+'[3]02'!Q19</f>
        <v>0</v>
      </c>
      <c r="H15" s="124">
        <v>0</v>
      </c>
      <c r="K15" s="118">
        <f t="shared" si="1"/>
        <v>2</v>
      </c>
    </row>
    <row r="16" spans="1:11" ht="15.75">
      <c r="A16" s="119" t="s">
        <v>34</v>
      </c>
      <c r="B16" s="120" t="s">
        <v>111</v>
      </c>
      <c r="C16" s="121">
        <f>E16+'[3]01'!E20</f>
        <v>0</v>
      </c>
      <c r="D16" s="122">
        <f>E16+'[3]01'!Q20</f>
        <v>0</v>
      </c>
      <c r="E16" s="123">
        <v>0</v>
      </c>
      <c r="F16" s="121">
        <f>H16+'[3]02'!D20</f>
        <v>0</v>
      </c>
      <c r="G16" s="121">
        <f>H16+'[3]02'!Q20</f>
        <v>0</v>
      </c>
      <c r="H16" s="124">
        <v>0</v>
      </c>
      <c r="K16" s="118">
        <f t="shared" si="1"/>
        <v>0</v>
      </c>
    </row>
    <row r="17" spans="1:11" ht="15.75">
      <c r="A17" s="119" t="s">
        <v>35</v>
      </c>
      <c r="B17" s="120" t="s">
        <v>112</v>
      </c>
      <c r="C17" s="121">
        <f>E17+'[3]01'!E21</f>
        <v>0</v>
      </c>
      <c r="D17" s="122">
        <f>E17+'[3]01'!Q21</f>
        <v>0</v>
      </c>
      <c r="E17" s="123">
        <v>0</v>
      </c>
      <c r="F17" s="121">
        <f>H17+'[3]02'!D21</f>
        <v>0</v>
      </c>
      <c r="G17" s="121">
        <f>H17+'[3]02'!Q21</f>
        <v>0</v>
      </c>
      <c r="H17" s="124">
        <v>0</v>
      </c>
      <c r="K17" s="118">
        <f t="shared" si="1"/>
        <v>1</v>
      </c>
    </row>
    <row r="18" spans="1:11" ht="15.75">
      <c r="A18" s="119" t="s">
        <v>36</v>
      </c>
      <c r="B18" s="120" t="s">
        <v>113</v>
      </c>
      <c r="C18" s="121">
        <f>E18+'[3]01'!E22</f>
        <v>0</v>
      </c>
      <c r="D18" s="122">
        <f>E18+'[3]01'!Q22</f>
        <v>0</v>
      </c>
      <c r="E18" s="123">
        <v>0</v>
      </c>
      <c r="F18" s="121">
        <f>H18+'[3]02'!D22</f>
        <v>0</v>
      </c>
      <c r="G18" s="121">
        <f>H18+'[3]02'!Q22</f>
        <v>0</v>
      </c>
      <c r="H18" s="124">
        <v>0</v>
      </c>
      <c r="K18" s="118">
        <f t="shared" si="1"/>
        <v>0</v>
      </c>
    </row>
    <row r="19" spans="1:11" ht="15.75">
      <c r="A19" s="119" t="s">
        <v>37</v>
      </c>
      <c r="B19" s="120" t="s">
        <v>114</v>
      </c>
      <c r="C19" s="121">
        <f>E19+'[3]01'!E23</f>
        <v>5</v>
      </c>
      <c r="D19" s="122">
        <v>2</v>
      </c>
      <c r="E19" s="123">
        <v>1</v>
      </c>
      <c r="F19" s="121">
        <f>H19+'[3]02'!D23</f>
        <v>5575515</v>
      </c>
      <c r="G19" s="121">
        <f>H19+'[3]02'!Q23</f>
        <v>5571920</v>
      </c>
      <c r="H19" s="124">
        <v>5552982</v>
      </c>
      <c r="K19" s="118">
        <f t="shared" si="1"/>
        <v>5</v>
      </c>
    </row>
    <row r="20" spans="1:11" s="130" customFormat="1" ht="15.75">
      <c r="A20" s="113" t="s">
        <v>53</v>
      </c>
      <c r="B20" s="128" t="s">
        <v>115</v>
      </c>
      <c r="C20" s="115">
        <f aca="true" t="shared" si="2" ref="C20:H20">SUM(C21:C33)</f>
        <v>222</v>
      </c>
      <c r="D20" s="115">
        <f t="shared" si="2"/>
        <v>75</v>
      </c>
      <c r="E20" s="115">
        <f t="shared" si="2"/>
        <v>15</v>
      </c>
      <c r="F20" s="115">
        <f t="shared" si="2"/>
        <v>783058612</v>
      </c>
      <c r="G20" s="115">
        <f t="shared" si="2"/>
        <v>107013202</v>
      </c>
      <c r="H20" s="115">
        <f t="shared" si="2"/>
        <v>5348921</v>
      </c>
      <c r="I20" s="129"/>
      <c r="K20" s="118">
        <f t="shared" si="1"/>
        <v>222</v>
      </c>
    </row>
    <row r="21" spans="1:11" ht="15.75">
      <c r="A21" s="119" t="s">
        <v>25</v>
      </c>
      <c r="B21" s="120" t="s">
        <v>102</v>
      </c>
      <c r="C21" s="121">
        <v>112</v>
      </c>
      <c r="D21" s="122">
        <v>29</v>
      </c>
      <c r="E21" s="131">
        <v>9</v>
      </c>
      <c r="F21" s="121">
        <f>H21+'[3]02'!D25</f>
        <v>42950354</v>
      </c>
      <c r="G21" s="121">
        <f>H21+'[3]02'!Q25</f>
        <v>23815700</v>
      </c>
      <c r="H21" s="124">
        <f>10955893-5965140-500-232927</f>
        <v>4757326</v>
      </c>
      <c r="K21" s="118">
        <f t="shared" si="1"/>
        <v>112</v>
      </c>
    </row>
    <row r="22" spans="1:11" ht="15.75">
      <c r="A22" s="119" t="s">
        <v>26</v>
      </c>
      <c r="B22" s="125" t="s">
        <v>103</v>
      </c>
      <c r="C22" s="121">
        <f>E22+'[3]01'!E26</f>
        <v>28</v>
      </c>
      <c r="D22" s="122">
        <f>E22+'[3]01'!Q26</f>
        <v>8</v>
      </c>
      <c r="E22" s="131">
        <v>3</v>
      </c>
      <c r="F22" s="121">
        <f>H22+'[3]02'!D26</f>
        <v>727647253</v>
      </c>
      <c r="G22" s="121">
        <f>H22+'[3]02'!Q26</f>
        <v>72871364</v>
      </c>
      <c r="H22" s="124">
        <f>488009</f>
        <v>488009</v>
      </c>
      <c r="K22" s="118">
        <f t="shared" si="1"/>
        <v>28</v>
      </c>
    </row>
    <row r="23" spans="1:11" ht="15.75">
      <c r="A23" s="119" t="s">
        <v>27</v>
      </c>
      <c r="B23" s="125" t="s">
        <v>104</v>
      </c>
      <c r="C23" s="121">
        <f>E23+'[3]01'!E27</f>
        <v>0</v>
      </c>
      <c r="D23" s="122">
        <f>E23+'[3]01'!Q27</f>
        <v>0</v>
      </c>
      <c r="E23" s="131">
        <v>0</v>
      </c>
      <c r="F23" s="121">
        <f>H23+'[3]02'!D27</f>
        <v>0</v>
      </c>
      <c r="G23" s="121">
        <f>H23+'[3]02'!Q27</f>
        <v>0</v>
      </c>
      <c r="H23" s="124">
        <v>0</v>
      </c>
      <c r="K23" s="118">
        <f t="shared" si="1"/>
        <v>0</v>
      </c>
    </row>
    <row r="24" spans="1:11" ht="15.75">
      <c r="A24" s="119" t="s">
        <v>28</v>
      </c>
      <c r="B24" s="120" t="s">
        <v>105</v>
      </c>
      <c r="C24" s="121">
        <f>E24+'[3]01'!E28</f>
        <v>0</v>
      </c>
      <c r="D24" s="122">
        <f>E24+'[3]01'!Q28</f>
        <v>0</v>
      </c>
      <c r="E24" s="131">
        <v>0</v>
      </c>
      <c r="F24" s="121">
        <f>H24+'[3]02'!D28</f>
        <v>0</v>
      </c>
      <c r="G24" s="121">
        <f>H24+'[3]02'!Q28</f>
        <v>0</v>
      </c>
      <c r="H24" s="124">
        <v>0</v>
      </c>
      <c r="K24" s="118">
        <f t="shared" si="1"/>
        <v>0</v>
      </c>
    </row>
    <row r="25" spans="1:11" ht="25.5">
      <c r="A25" s="119" t="s">
        <v>29</v>
      </c>
      <c r="B25" s="127" t="s">
        <v>106</v>
      </c>
      <c r="C25" s="121">
        <f>E25+'[3]01'!E29</f>
        <v>0</v>
      </c>
      <c r="D25" s="122">
        <f>E25+'[3]01'!Q29</f>
        <v>0</v>
      </c>
      <c r="E25" s="131">
        <v>0</v>
      </c>
      <c r="F25" s="121">
        <f>H25+'[3]02'!D29</f>
        <v>0</v>
      </c>
      <c r="G25" s="121">
        <f>H25+'[3]02'!Q29</f>
        <v>0</v>
      </c>
      <c r="H25" s="124">
        <v>0</v>
      </c>
      <c r="K25" s="118">
        <f t="shared" si="1"/>
        <v>0</v>
      </c>
    </row>
    <row r="26" spans="1:11" ht="15.75">
      <c r="A26" s="119" t="s">
        <v>30</v>
      </c>
      <c r="B26" s="120" t="s">
        <v>107</v>
      </c>
      <c r="C26" s="121">
        <v>37</v>
      </c>
      <c r="D26" s="122">
        <v>24</v>
      </c>
      <c r="E26" s="131">
        <v>1</v>
      </c>
      <c r="F26" s="121">
        <f>H26+'[3]02'!D30</f>
        <v>10447271</v>
      </c>
      <c r="G26" s="121">
        <f>H26+'[3]02'!Q30</f>
        <v>9916602</v>
      </c>
      <c r="H26" s="124"/>
      <c r="K26" s="118">
        <f t="shared" si="1"/>
        <v>37</v>
      </c>
    </row>
    <row r="27" spans="1:11" ht="15.75">
      <c r="A27" s="119" t="s">
        <v>31</v>
      </c>
      <c r="B27" s="120" t="s">
        <v>108</v>
      </c>
      <c r="C27" s="121">
        <f>E27+'[3]01'!E31</f>
        <v>0</v>
      </c>
      <c r="D27" s="122">
        <f>E27+'[3]01'!Q31</f>
        <v>0</v>
      </c>
      <c r="E27" s="131">
        <v>0</v>
      </c>
      <c r="F27" s="121">
        <f>H27+'[3]02'!D31</f>
        <v>0</v>
      </c>
      <c r="G27" s="121">
        <f>H27+'[3]02'!Q31</f>
        <v>0</v>
      </c>
      <c r="H27" s="124">
        <v>0</v>
      </c>
      <c r="K27" s="118">
        <f t="shared" si="1"/>
        <v>0</v>
      </c>
    </row>
    <row r="28" spans="1:11" ht="15.75">
      <c r="A28" s="119" t="s">
        <v>32</v>
      </c>
      <c r="B28" s="120" t="s">
        <v>109</v>
      </c>
      <c r="C28" s="121">
        <f>E28+'[3]01'!E32</f>
        <v>43</v>
      </c>
      <c r="D28" s="122">
        <f>E28+'[3]01'!Q32</f>
        <v>13</v>
      </c>
      <c r="E28" s="131">
        <v>1</v>
      </c>
      <c r="F28" s="121">
        <f>H28+'[3]02'!D32</f>
        <v>1154645</v>
      </c>
      <c r="G28" s="121">
        <f>H28+'[3]02'!Q32</f>
        <v>385950</v>
      </c>
      <c r="H28" s="124">
        <v>80000</v>
      </c>
      <c r="K28" s="118">
        <f t="shared" si="1"/>
        <v>43</v>
      </c>
    </row>
    <row r="29" spans="1:11" ht="15.75">
      <c r="A29" s="119" t="s">
        <v>33</v>
      </c>
      <c r="B29" s="120" t="s">
        <v>110</v>
      </c>
      <c r="C29" s="121">
        <f>E29+'[3]01'!E33</f>
        <v>1</v>
      </c>
      <c r="D29" s="122">
        <f>E29+'[3]01'!Q33</f>
        <v>0</v>
      </c>
      <c r="E29" s="131">
        <v>0</v>
      </c>
      <c r="F29" s="121">
        <f>H29+'[3]02'!D33</f>
        <v>835503</v>
      </c>
      <c r="G29" s="121">
        <f>H29+'[3]02'!Q33</f>
        <v>0</v>
      </c>
      <c r="H29" s="124">
        <v>0</v>
      </c>
      <c r="K29" s="118">
        <f t="shared" si="1"/>
        <v>1</v>
      </c>
    </row>
    <row r="30" spans="1:11" ht="15.75">
      <c r="A30" s="119" t="s">
        <v>34</v>
      </c>
      <c r="B30" s="120" t="s">
        <v>111</v>
      </c>
      <c r="C30" s="121">
        <f>E30+'[3]01'!E34</f>
        <v>0</v>
      </c>
      <c r="D30" s="122">
        <f>E30+'[3]01'!Q34</f>
        <v>0</v>
      </c>
      <c r="E30" s="131">
        <v>0</v>
      </c>
      <c r="F30" s="121">
        <f>H30+'[3]02'!D34</f>
        <v>0</v>
      </c>
      <c r="G30" s="121">
        <f>H30+'[3]02'!Q34</f>
        <v>0</v>
      </c>
      <c r="H30" s="124">
        <v>0</v>
      </c>
      <c r="K30" s="118">
        <f t="shared" si="1"/>
        <v>0</v>
      </c>
    </row>
    <row r="31" spans="1:11" ht="15.75">
      <c r="A31" s="119" t="s">
        <v>35</v>
      </c>
      <c r="B31" s="120" t="s">
        <v>112</v>
      </c>
      <c r="C31" s="121">
        <f>E31+'[3]01'!E35</f>
        <v>1</v>
      </c>
      <c r="D31" s="122">
        <f>E31+'[3]01'!Q35</f>
        <v>1</v>
      </c>
      <c r="E31" s="131">
        <v>1</v>
      </c>
      <c r="F31" s="121">
        <f>H31+'[3]02'!D35</f>
        <v>23586</v>
      </c>
      <c r="G31" s="121">
        <f>H31+'[3]02'!Q35</f>
        <v>23586</v>
      </c>
      <c r="H31" s="124">
        <v>23586</v>
      </c>
      <c r="K31" s="118">
        <f t="shared" si="1"/>
        <v>1</v>
      </c>
    </row>
    <row r="32" spans="1:11" ht="15.75">
      <c r="A32" s="119" t="s">
        <v>36</v>
      </c>
      <c r="B32" s="120" t="s">
        <v>113</v>
      </c>
      <c r="C32" s="121">
        <f>E32+'[3]01'!E36</f>
        <v>0</v>
      </c>
      <c r="D32" s="122">
        <f>E32+'[3]01'!Q36</f>
        <v>0</v>
      </c>
      <c r="E32" s="131">
        <v>0</v>
      </c>
      <c r="F32" s="121">
        <f>H32+'[3]02'!D36</f>
        <v>0</v>
      </c>
      <c r="G32" s="121">
        <f>H32+'[3]02'!Q36</f>
        <v>0</v>
      </c>
      <c r="H32" s="124">
        <v>0</v>
      </c>
      <c r="K32" s="118">
        <f t="shared" si="1"/>
        <v>0</v>
      </c>
    </row>
    <row r="33" spans="1:11" ht="15.75">
      <c r="A33" s="119" t="s">
        <v>37</v>
      </c>
      <c r="B33" s="120" t="s">
        <v>114</v>
      </c>
      <c r="C33" s="121">
        <f>E33+'[3]01'!E37</f>
        <v>0</v>
      </c>
      <c r="D33" s="122">
        <f>E33+'[3]01'!Q37</f>
        <v>0</v>
      </c>
      <c r="E33" s="131">
        <v>0</v>
      </c>
      <c r="F33" s="121">
        <f>H33+'[3]02'!D37</f>
        <v>0</v>
      </c>
      <c r="G33" s="121">
        <f>H33+'[3]02'!Q37</f>
        <v>0</v>
      </c>
      <c r="H33" s="124">
        <v>0</v>
      </c>
      <c r="K33" s="118">
        <f t="shared" si="1"/>
        <v>0</v>
      </c>
    </row>
    <row r="34" spans="6:8" ht="15.75">
      <c r="F34" s="132"/>
      <c r="G34" s="132"/>
      <c r="H34" s="133"/>
    </row>
  </sheetData>
  <sheetProtection formatCells="0" formatColumns="0" formatRows="0" insertColumns="0" insertRows="0"/>
  <mergeCells count="7">
    <mergeCell ref="A1:H1"/>
    <mergeCell ref="A2:H2"/>
    <mergeCell ref="F3:H3"/>
    <mergeCell ref="A4:A5"/>
    <mergeCell ref="B4:B5"/>
    <mergeCell ref="C4:E4"/>
    <mergeCell ref="F4:H4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2021-05-04T00:55:59Z</dcterms:created>
  <dcterms:modified xsi:type="dcterms:W3CDTF">2021-05-05T06:45:49Z</dcterms:modified>
  <cp:category/>
  <cp:version/>
  <cp:contentType/>
  <cp:contentStatus/>
</cp:coreProperties>
</file>